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Exhibit - Centre" sheetId="2" state="visible" r:id="rId4"/>
    <sheet name="Comp - Centre" sheetId="3" state="visible" r:id="rId5"/>
    <sheet name="Inpu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<sst xmlns="http://schemas.openxmlformats.org/spreadsheetml/2006/main" count="714" uniqueCount="447">
  <si>
    <t xml:space="preserve">MAYADEEN PARK — Experience Centre component model</t>
  </si>
  <si>
    <t xml:space="preserve">Extract of the Mayadeen Park Financing Model v1.0 (21 Oct 2026) · Confidential</t>
  </si>
  <si>
    <t xml:space="preserve">Scope</t>
  </si>
  <si>
    <t xml:space="preserve">Experience Centre (18,050 sqm) — allocated capex, revenue drivers, EBITDA, Koushan AM fee, Al-Maqr revenue share and land rent, SPV overheads, free cash flow and component IRR</t>
  </si>
  <si>
    <t xml:space="preserve">Inputs</t>
  </si>
  <si>
    <t xml:space="preserve">The Inputs sheet is a full copy of the master model's inputs (same cell addresses), so formulas here are identical to the master. Blue = input.</t>
  </si>
  <si>
    <t xml:space="preserve">Allocation</t>
  </si>
  <si>
    <t xml:space="preserve">Direct items (hotel FF&amp;E, Centre content, pre-opening) are charged to their component; all other GMP items are allocated by built-up area; fixed land rent and SPV overheads (which cover the asset-management role — no separate Koushan AM fee) are shared between the Experience Centre and retail in proportion to stabilised 2032 revenue; none to the hotel.</t>
  </si>
  <si>
    <t xml:space="preserve">Tie-out</t>
  </si>
  <si>
    <t xml:space="preserve">The sum of the three component schedules equals the SPV cash flow in the master model (capex SAR 550.1M; NOI after fees in every year).</t>
  </si>
  <si>
    <t xml:space="preserve">Master model</t>
  </si>
  <si>
    <t xml:space="preserve">Mayadeen Park - Financing Model v1.0.xlsx (SPV cash flow, shareholder-loan waterfall, Returns, Bank KPIs, Sensitivity)</t>
  </si>
  <si>
    <t xml:space="preserve">Exhibit: Experience Centre Returns</t>
  </si>
  <si>
    <t xml:space="preserve">Category</t>
  </si>
  <si>
    <t xml:space="preserve">Total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</si>
  <si>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</si>
  <si>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</si>
  <si>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</si>
  <si>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</si>
  <si>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</si>
  <si>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</si>
  <si>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</si>
  <si>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</si>
  <si>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</si>
  <si>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</si>
  <si>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Year 11</t>
  </si>
  <si>
    <t xml:space="preserve">Year 12</t>
  </si>
  <si>
    <t xml:space="preserve">Year 13</t>
  </si>
  <si>
    <t xml:space="preserve">Year 14</t>
  </si>
  <si>
    <t xml:space="preserve">Year 15</t>
  </si>
  <si>
    <t xml:space="preserve">SAR'000 unless stated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</si>
  <si>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</si>
  <si>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</si>
  <si>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</si>
  <si>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</si>
  <si>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</si>
  <si>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</si>
  <si>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</si>
  <si>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</si>
  <si>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</si>
  <si>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</si>
  <si>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</si>
  <si>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</si>
  <si>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</si>
  <si>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</si>
  <si>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</si>
  <si>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Key assumptions</t>
  </si>
  <si>
    <t xml:space="preserve">Visitors, '000 (full-year equivalent)</t>
  </si>
  <si>
    <t xml:space="preserve">Revenue per visitor, SAR (admissions + F&amp;B + retail + photo)</t>
  </si>
  <si>
    <t xml:space="preserve">Average admission per visitor, SAR (ProFun)</t>
  </si>
  <si>
    <t xml:space="preserve">Trading factor (opening year 25%)</t>
  </si>
  <si>
    <t xml:space="preserve">EBITDA margin after management fees</t>
  </si>
  <si>
    <t xml:space="preserve">Operations</t>
  </si>
  <si>
    <t xml:space="preserve">Revenue</t>
  </si>
  <si>
    <t xml:space="preserve">EBITDA | Experience Centre (after operator fees)</t>
  </si>
  <si>
    <t xml:space="preserve">Koushan Asset Management Fee</t>
  </si>
  <si>
    <t xml:space="preserve">Land Lease (revenue share)</t>
  </si>
  <si>
    <t xml:space="preserve">Land Lease Cost (allocated)</t>
  </si>
  <si>
    <t xml:space="preserve">SPV overheads (allocated)</t>
  </si>
  <si>
    <t xml:space="preserve">Component NOI</t>
  </si>
  <si>
    <t xml:space="preserve">Capex</t>
  </si>
  <si>
    <t xml:space="preserve">  Structural works</t>
  </si>
  <si>
    <t xml:space="preserve">  Finishes</t>
  </si>
  <si>
    <t xml:space="preserve">  MEP works</t>
  </si>
  <si>
    <t xml:space="preserve">  Landscaping, water features &amp; infrastructure</t>
  </si>
  <si>
    <t xml:space="preserve">  Experience Centre content &amp; AV systems</t>
  </si>
  <si>
    <t xml:space="preserve">  Contingency &amp; project management reserves</t>
  </si>
  <si>
    <t xml:space="preserve">  Design, supervision, fees &amp; permits</t>
  </si>
  <si>
    <t xml:space="preserve">  Marketing, rent &amp; administration during construction</t>
  </si>
  <si>
    <t xml:space="preserve">  Pre-opening (within the SAR 550M cap)</t>
  </si>
  <si>
    <t xml:space="preserve">Total CapEx</t>
  </si>
  <si>
    <t xml:space="preserve">Net Cash</t>
  </si>
  <si>
    <t xml:space="preserve">Exit Value at exhibit cap (final year, leasehold-adjusted)</t>
  </si>
  <si>
    <t xml:space="preserve">Net Cashflows including TV</t>
  </si>
  <si>
    <t xml:space="preserve">Experience Centre IRR</t>
  </si>
  <si>
    <t xml:space="preserve">Years 1–15 = 2026–2040. Exit in Year 15 at the exhibit cap rate (Inputs). Before zakat. Shared GMP items allocated by built-up area; fixed land rent and SPV overheads shared between the Experience Centre and retail in proportion to stabilised (2032) revenue, none to the hotel; no separate asset-management fee (covered by the SPV overhead).</t>
  </si>
  <si>
    <t xml:space="preserve">Experience Centre — Component Schedule (SAR M)</t>
  </si>
  <si>
    <t xml:space="preserve">Experience Centre (18,050 sqm). Capex allocated per Inputs rule; revenue and EBITDA per the operating model; fees and rent per agreements. Component IRR on allocated cash flows.</t>
  </si>
  <si>
    <t xml:space="preserve">SAR million</t>
  </si>
  <si>
    <t xml:space="preserve">Notes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</si>
  <si>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</si>
  <si>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</si>
  <si>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</si>
  <si>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</si>
  <si>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</si>
  <si>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</si>
  <si>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</si>
  <si>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</si>
  <si>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</si>
  <si>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</si>
  <si>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</si>
  <si>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</si>
  <si>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</si>
  <si>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</si>
  <si>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</si>
  <si>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</si>
  <si>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</si>
  <si>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</si>
  <si>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</si>
  <si>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</si>
  <si>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</si>
  <si>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</si>
  <si>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</si>
  <si>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</si>
  <si>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</si>
  <si>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</si>
  <si>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</si>
  <si>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</si>
  <si>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</si>
  <si>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</si>
  <si>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</si>
  <si>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</si>
  <si>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</si>
  <si>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</si>
  <si>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A. Capital expenditure — budget items allocated to the component (within the SAR 550M cap)</t>
  </si>
  <si>
    <t xml:space="preserve">Structural works</t>
  </si>
  <si>
    <t xml:space="preserve">Finishes</t>
  </si>
  <si>
    <t xml:space="preserve">MEP works</t>
  </si>
  <si>
    <t xml:space="preserve">Landscaping, water features &amp; infrastructure</t>
  </si>
  <si>
    <t xml:space="preserve">Hotel FF&amp;E (net of pre-opening)</t>
  </si>
  <si>
    <t xml:space="preserve">Experience Centre content &amp; AV systems</t>
  </si>
  <si>
    <t xml:space="preserve">Contingency reserve</t>
  </si>
  <si>
    <t xml:space="preserve">Project management reserve</t>
  </si>
  <si>
    <t xml:space="preserve">Design</t>
  </si>
  <si>
    <t xml:space="preserve">Supervision</t>
  </si>
  <si>
    <t xml:space="preserve">Fees &amp; permits</t>
  </si>
  <si>
    <t xml:space="preserve">Marketing &amp; pre-opening (within GMP)</t>
  </si>
  <si>
    <t xml:space="preserve">Rent &amp; administration during construction</t>
  </si>
  <si>
    <t xml:space="preserve">Hard cost (construction, FF&amp;E, content, reserves)</t>
  </si>
  <si>
    <t xml:space="preserve">Soft cost (design, supervision, fees, marketing, rent &amp; admin)</t>
  </si>
  <si>
    <t xml:space="preserve">Pre-opening (funded within the cap)</t>
  </si>
  <si>
    <t xml:space="preserve">Total component capex</t>
  </si>
  <si>
    <t xml:space="preserve">B. Revenue drivers</t>
  </si>
  <si>
    <t xml:space="preserve">Full-year revenue — LDP base case (+2.5% after 2040)</t>
  </si>
  <si>
    <t xml:space="preserve">Full-year revenue — ProFun consolidated pro-forma (+2.5% after 2040)</t>
  </si>
  <si>
    <t xml:space="preserve">ProFun EBITDA margin after management fees</t>
  </si>
  <si>
    <t xml:space="preserve">ProFun admissions revenue per visitor, SAR</t>
  </si>
  <si>
    <t xml:space="preserve">ProFun revenue per visitor, SAR</t>
  </si>
  <si>
    <t xml:space="preserve">Full-year revenue — selected case (Inputs: Centre base case)</t>
  </si>
  <si>
    <t xml:space="preserve">Trading factor</t>
  </si>
  <si>
    <t xml:space="preserve">Experience Centre revenue (ticketing, F&amp;B, retail)</t>
  </si>
  <si>
    <t xml:space="preserve">Revenue per visitor, SAR (ProFun per-cap / LDP entertainment value +2.5%)</t>
  </si>
  <si>
    <t xml:space="preserve">Implied visitors, '000 (full-year equivalent)</t>
  </si>
  <si>
    <t xml:space="preserve">EBITDA — ProFun after management fees / LDP 31.1% before fees</t>
  </si>
  <si>
    <t xml:space="preserve">Midwam fees (base + incentive) — LDP case only</t>
  </si>
  <si>
    <t xml:space="preserve">Content refresh</t>
  </si>
  <si>
    <t xml:space="preserve">Component EBITDA (Centre NOI)</t>
  </si>
  <si>
    <t xml:space="preserve">C. SPV charges attributable to the component</t>
  </si>
  <si>
    <t xml:space="preserve">Koushan asset-management fee (5% of revenue where applicable)</t>
  </si>
  <si>
    <t xml:space="preserve">Al-Maqr revenue share (2% of component revenue)</t>
  </si>
  <si>
    <t xml:space="preserve">Al-Maqr fixed land rent × allocation share</t>
  </si>
  <si>
    <t xml:space="preserve">SPV overheads (G&amp;A + insurance) × allocation share</t>
  </si>
  <si>
    <t xml:space="preserve">COMPONENT NOI AFTER FEES AND RENT</t>
  </si>
  <si>
    <t xml:space="preserve">D. Component free cash flow and returns</t>
  </si>
  <si>
    <t xml:space="preserve">Free cash flow (NOI after fees − capex), before zakat</t>
  </si>
  <si>
    <t xml:space="preserve">Cumulative free cash flow</t>
  </si>
  <si>
    <t xml:space="preserve">Exit value in exit year (next-year NOI ÷ exit cap, leasehold-adjusted)</t>
  </si>
  <si>
    <t xml:space="preserve">Free cash flow with exit</t>
  </si>
  <si>
    <t xml:space="preserve">Summary</t>
  </si>
  <si>
    <t xml:space="preserve">Allocated capex (SAR M)</t>
  </si>
  <si>
    <t xml:space="preserve">Component NOI after fees — 2032</t>
  </si>
  <si>
    <t xml:space="preserve">FCF margin at stabilisation (2032 NOI ÷ revenue)</t>
  </si>
  <si>
    <t xml:space="preserve">Yield on allocated capex (2032)</t>
  </si>
  <si>
    <t xml:space="preserve">Component IRR — hold to 2074</t>
  </si>
  <si>
    <t xml:space="preserve">Component IRR — exit in exit year</t>
  </si>
  <si>
    <t xml:space="preserve">Payback year</t>
  </si>
  <si>
    <t xml:space="preserve">Mayadeen Park — Inputs &amp; Assumptions</t>
  </si>
  <si>
    <t xml:space="preserve">Blue = hard-coded input (editable). Black = formula. Every input cites its source. SAR million unless stated.</t>
  </si>
  <si>
    <t xml:space="preserve">Scenario levers (1.00 = base case)</t>
  </si>
  <si>
    <t xml:space="preserve">Construction cost multiplier</t>
  </si>
  <si>
    <t xml:space="preserve">x</t>
  </si>
  <si>
    <t xml:space="preserve">Sensitivity lever — base 1.00</t>
  </si>
  <si>
    <t xml:space="preserve">Hotel revenue multiplier</t>
  </si>
  <si>
    <t xml:space="preserve">Sensitivity lever</t>
  </si>
  <si>
    <t xml:space="preserve">Experience Centre revenue multiplier</t>
  </si>
  <si>
    <t xml:space="preserve">Retail revenue multiplier</t>
  </si>
  <si>
    <t xml:space="preserve">Opening delay (whole years, 0 or 1)</t>
  </si>
  <si>
    <t xml:space="preserve">yrs</t>
  </si>
  <si>
    <t xml:space="preserve">Sensitivity lever — shifts all revenue one year later</t>
  </si>
  <si>
    <t xml:space="preserve">Structure &amp; parties</t>
  </si>
  <si>
    <t xml:space="preserve">Watanco Contracting Co. shareholding — funder (interest-free shareholder loan) and EPCF contractor</t>
  </si>
  <si>
    <t xml:space="preserve">%</t>
  </si>
  <si>
    <t xml:space="preserve">Shareholders' decision 22 Oct 2026 (amendment to Master EPCF Agreement 13 Jul 2026, Art. 9.1 — in progress)</t>
  </si>
  <si>
    <t xml:space="preserve">Koushan Real Estate Development shareholding (land, design, permits)</t>
  </si>
  <si>
    <t xml:space="preserve">As above</t>
  </si>
  <si>
    <t xml:space="preserve">Koushan asset-management fee (% of revenue where the flag below is 1)</t>
  </si>
  <si>
    <t xml:space="preserve">Cancelled 22 Oct 2026: asset management is covered within the SPV's AM &amp; G&amp;A overhead (SAR 6.5M) — flags set to 0 to avoid double counting</t>
  </si>
  <si>
    <t xml:space="preserve">AM fee applies to hotel revenue (1 = yes, 0 = no)</t>
  </si>
  <si>
    <t xml:space="preserve">flag</t>
  </si>
  <si>
    <t xml:space="preserve">Shareholders' decision, Oct 2026: waived for hotel</t>
  </si>
  <si>
    <t xml:space="preserve">AM fee applies to Experience Centre revenue</t>
  </si>
  <si>
    <t xml:space="preserve">Shareholders' decision, Oct 2026: waived for the Centre</t>
  </si>
  <si>
    <t xml:space="preserve">AM fee applies to retail revenue</t>
  </si>
  <si>
    <t xml:space="preserve">Shareholders' decision, 22 Oct 2026: fee cancelled (0)</t>
  </si>
  <si>
    <t xml:space="preserve">Fixed land rent &amp; SPV overheads allocated to hotel (1 = yes, 0 = no)</t>
  </si>
  <si>
    <t xml:space="preserve">Shareholders' decision, 22 Oct 2026: not charged to the hotel</t>
  </si>
  <si>
    <t xml:space="preserve">Fixed land rent &amp; SPV overheads allocated to Experience Centre</t>
  </si>
  <si>
    <t xml:space="preserve">Shareholders' decision, 22 Oct 2026: shared with retail in proportion to stabilised revenue</t>
  </si>
  <si>
    <t xml:space="preserve">Fixed land rent &amp; SPV overheads allocated to retail</t>
  </si>
  <si>
    <t xml:space="preserve">Shareholders' decision, 22 Oct 2026: shared with the Centre in proportion to stabilised revenue</t>
  </si>
  <si>
    <t xml:space="preserve">Allocation weight — hotel: stabilised (2032) revenue × flag, SAR M</t>
  </si>
  <si>
    <t xml:space="preserve">SAR M</t>
  </si>
  <si>
    <t xml:space="preserve">Formula: Operations 2032 revenue × flag (values in the component models)</t>
  </si>
  <si>
    <t xml:space="preserve">Allocation weight — Experience Centre: stabilised (2032) revenue × flag, SAR M</t>
  </si>
  <si>
    <t xml:space="preserve">Allocation weight — retail: stabilised (2032) revenue × flag, SAR M</t>
  </si>
  <si>
    <t xml:space="preserve">Minimum operating cash held in SPV</t>
  </si>
  <si>
    <t xml:space="preserve">Watanco business plan assumption</t>
  </si>
  <si>
    <t xml:space="preserve">Capital expenditure — Watanco GMP SAR 550M (VAT inclusive), phased per Watanco Project Cash Flow (Oct 2026)</t>
  </si>
  <si>
    <t xml:space="preserve">Item</t>
  </si>
  <si>
    <t xml:space="preserve">Hotel FF&amp;E</t>
  </si>
  <si>
    <t xml:space="preserve">Total GMP (check = 550.0)</t>
  </si>
  <si>
    <t xml:space="preserve">Source: Watanco '15_Project_Cash_Flow_EN', §4 Uses by item and year</t>
  </si>
  <si>
    <t xml:space="preserve">VAT embedded in the SAR 550M (memo — recovery not in returns)</t>
  </si>
  <si>
    <t xml:space="preserve">Watanco Project Cash Flow §7 (conservative: excluded from IRR)</t>
  </si>
  <si>
    <t xml:space="preserve">Pre-opening — ON TOP of the SAR 550M GMP (shareholders' decision, Oct 2026)</t>
  </si>
  <si>
    <t xml:space="preserve">Experience Centre pre-opening per ProFun business plan</t>
  </si>
  <si>
    <t xml:space="preserve">ProFun business plan for Midwam, 18 Jan 2025</t>
  </si>
  <si>
    <t xml:space="preserve">Share funded by project (balance from operating income)</t>
  </si>
  <si>
    <t xml:space="preserve">Shareholders' decision, Oct 2026</t>
  </si>
  <si>
    <t xml:space="preserve">Phasing — 2027</t>
  </si>
  <si>
    <t xml:space="preserve">ProFun: 86% in last 12 months before opening</t>
  </si>
  <si>
    <t xml:space="preserve">Retail landlord fit-out contributions per Savills</t>
  </si>
  <si>
    <t xml:space="preserve">Savills Tenant Mix (24 Jul 2024) p.104–105: key units 32.68 + food court 6.98</t>
  </si>
  <si>
    <t xml:space="preserve">Phasing — 2028 (balance 2029 with leasing)</t>
  </si>
  <si>
    <t xml:space="preserve">Leasing ramp 50% / 70% / 92% (Savills)</t>
  </si>
  <si>
    <t xml:space="preserve">Hotel pre-opening — minimum</t>
  </si>
  <si>
    <t xml:space="preserve">Watanco feasibility study: SAR 25,000/key × 600 keys</t>
  </si>
  <si>
    <t xml:space="preserve">Phasing — 2028 (balance 2029)</t>
  </si>
  <si>
    <t xml:space="preserve">Watanco model: 5.0 in 2028, 10.0 in 2029</t>
  </si>
  <si>
    <t xml:space="preserve">Programme</t>
  </si>
  <si>
    <t xml:space="preserve">Experience Centre &amp; boulevard opening year</t>
  </si>
  <si>
    <t xml:space="preserve">year</t>
  </si>
  <si>
    <t xml:space="preserve">Watanco: grand opening Q4 2028</t>
  </si>
  <si>
    <t xml:space="preserve">Fraction of first year traded — Centre &amp; retail</t>
  </si>
  <si>
    <t xml:space="preserve">Q4 opening</t>
  </si>
  <si>
    <t xml:space="preserve">Hotel opening year</t>
  </si>
  <si>
    <t xml:space="preserve">Watanco: mid-2029</t>
  </si>
  <si>
    <t xml:space="preserve">Fraction of first year traded — hotel</t>
  </si>
  <si>
    <t xml:space="preserve">Mid-year opening</t>
  </si>
  <si>
    <t xml:space="preserve">Leasehold expiry (facilities revert to Al-Maqr, nil residual)</t>
  </si>
  <si>
    <t xml:space="preserve">Al-Maqr contract 23/007</t>
  </si>
  <si>
    <t xml:space="preserve">Hotel — 600 keys (base case: IHG Staybridge projections per key; operator/brand to be selected)</t>
  </si>
  <si>
    <t xml:space="preserve">Keys (300 hotel + 300 serviced apartments)</t>
  </si>
  <si>
    <t xml:space="preserve">keys</t>
  </si>
  <si>
    <t xml:space="preserve">Shareholders' data, Oct 2026</t>
  </si>
  <si>
    <t xml:space="preserve">Peak season months</t>
  </si>
  <si>
    <t xml:space="preserve">months</t>
  </si>
  <si>
    <t xml:space="preserve">Watanco model</t>
  </si>
  <si>
    <t xml:space="preserve">ADR — peak (2029 prices)</t>
  </si>
  <si>
    <t xml:space="preserve">SAR</t>
  </si>
  <si>
    <t xml:space="preserve">ADR — off-peak (2029 prices)</t>
  </si>
  <si>
    <t xml:space="preserve">Occupancy — peak</t>
  </si>
  <si>
    <t xml:space="preserve">Occupancy — off-peak</t>
  </si>
  <si>
    <t xml:space="preserve">Rooms revenue as % of total hotel revenue</t>
  </si>
  <si>
    <t xml:space="preserve">IHG Staybridge projections (retained as benchmark)</t>
  </si>
  <si>
    <t xml:space="preserve">Annual ADR growth</t>
  </si>
  <si>
    <t xml:space="preserve">IHG projections</t>
  </si>
  <si>
    <t xml:space="preserve">Ramp — year 1 (% of stabilised)</t>
  </si>
  <si>
    <t xml:space="preserve">IHG: 57%/63% occupancy</t>
  </si>
  <si>
    <t xml:space="preserve">Ramp — year 2</t>
  </si>
  <si>
    <t xml:space="preserve">IHG: 60%/63%</t>
  </si>
  <si>
    <t xml:space="preserve">GOP margin — year 1</t>
  </si>
  <si>
    <t xml:space="preserve">IHG</t>
  </si>
  <si>
    <t xml:space="preserve">GOP margin — year 2</t>
  </si>
  <si>
    <t xml:space="preserve">GOP margin — stabilised</t>
  </si>
  <si>
    <t xml:space="preserve">Operator base fee (% revenue)</t>
  </si>
  <si>
    <t xml:space="preserve">Shareholders' data</t>
  </si>
  <si>
    <t xml:space="preserve">Operator incentive fee (% GOP)</t>
  </si>
  <si>
    <t xml:space="preserve">FF&amp;E reserve (% revenue)</t>
  </si>
  <si>
    <t xml:space="preserve">Experience Centre — LDP Report 6.0 base case; operator Midwam (ProFun business plan)</t>
  </si>
  <si>
    <t xml:space="preserve">Centre full-year revenue — 2028</t>
  </si>
  <si>
    <t xml:space="preserve">LDP Report 6.0 base case (1.19M visitors in 2031)</t>
  </si>
  <si>
    <t xml:space="preserve">Centre full-year revenue — 2029</t>
  </si>
  <si>
    <t xml:space="preserve">Centre full-year revenue — 2030</t>
  </si>
  <si>
    <t xml:space="preserve">Centre full-year revenue — 2031</t>
  </si>
  <si>
    <t xml:space="preserve">Centre full-year revenue — 2032</t>
  </si>
  <si>
    <t xml:space="preserve">Centre full-year revenue — 2033</t>
  </si>
  <si>
    <t xml:space="preserve">Centre full-year revenue — 2034</t>
  </si>
  <si>
    <t xml:space="preserve">Centre full-year revenue — 2035</t>
  </si>
  <si>
    <t xml:space="preserve">Centre full-year revenue — 2036</t>
  </si>
  <si>
    <t xml:space="preserve">Centre full-year revenue — 2037</t>
  </si>
  <si>
    <t xml:space="preserve">Centre full-year revenue — 2038</t>
  </si>
  <si>
    <t xml:space="preserve">Centre full-year revenue — 2039</t>
  </si>
  <si>
    <t xml:space="preserve">Centre full-year revenue — 2040</t>
  </si>
  <si>
    <t xml:space="preserve">Centre revenue growth after 2040</t>
  </si>
  <si>
    <t xml:space="preserve">LDP / ProFun (inflation)</t>
  </si>
  <si>
    <t xml:space="preserve">Centre base case: 1 = LDP (Watanco model) · 2 = ProFun consolidated pro-forma</t>
  </si>
  <si>
    <t xml:space="preserve">case</t>
  </si>
  <si>
    <t xml:space="preserve">Shareholders' decision, Oct 2026: ProFun business plan p.58–59</t>
  </si>
  <si>
    <t xml:space="preserve">ProFun — Centre total revenue (full year, ex-VAT) 2028</t>
  </si>
  <si>
    <t xml:space="preserve">ProFun Pro Forma Business Plan Rev.1 (18 Jan 2025), consolidated projections p.59</t>
  </si>
  <si>
    <t xml:space="preserve">ProFun — Centre total revenue (full year, ex-VAT) 2029</t>
  </si>
  <si>
    <t xml:space="preserve">ProFun — Centre total revenue (full year, ex-VAT) 2030</t>
  </si>
  <si>
    <t xml:space="preserve">ProFun — Centre total revenue (full year, ex-VAT) 2031</t>
  </si>
  <si>
    <t xml:space="preserve">ProFun — Centre total revenue (full year, ex-VAT) 2032</t>
  </si>
  <si>
    <t xml:space="preserve">ProFun — Centre total revenue (full year, ex-VAT) 2033</t>
  </si>
  <si>
    <t xml:space="preserve">ProFun — Centre total revenue (full year, ex-VAT) 2034</t>
  </si>
  <si>
    <t xml:space="preserve">ProFun — Centre total revenue (full year, ex-VAT) 2035</t>
  </si>
  <si>
    <t xml:space="preserve">ProFun — Centre total revenue (full year, ex-VAT) 2036</t>
  </si>
  <si>
    <t xml:space="preserve">ProFun — Centre total revenue (full year, ex-VAT) 2037</t>
  </si>
  <si>
    <t xml:space="preserve">ProFun — Centre total revenue (full year, ex-VAT) 2038</t>
  </si>
  <si>
    <t xml:space="preserve">ProFun — Centre total revenue (full year, ex-VAT) 2039</t>
  </si>
  <si>
    <t xml:space="preserve">ProFun — Centre total revenue (full year, ex-VAT) 2040</t>
  </si>
  <si>
    <t xml:space="preserve">ProFun — Centre EBITDA after management fees 2028</t>
  </si>
  <si>
    <t xml:space="preserve">ProFun p.59: GOP less management fees (Midwam)</t>
  </si>
  <si>
    <t xml:space="preserve">ProFun — Centre EBITDA after management fees 2029</t>
  </si>
  <si>
    <t xml:space="preserve">ProFun — Centre EBITDA after management fees 2030</t>
  </si>
  <si>
    <t xml:space="preserve">ProFun — Centre EBITDA after management fees 2031</t>
  </si>
  <si>
    <t xml:space="preserve">ProFun — Centre EBITDA after management fees 2032</t>
  </si>
  <si>
    <t xml:space="preserve">ProFun — Centre EBITDA after management fees 2033</t>
  </si>
  <si>
    <t xml:space="preserve">ProFun — Centre EBITDA after management fees 2034</t>
  </si>
  <si>
    <t xml:space="preserve">ProFun — Centre EBITDA after management fees 2035</t>
  </si>
  <si>
    <t xml:space="preserve">ProFun — Centre EBITDA after management fees 2036</t>
  </si>
  <si>
    <t xml:space="preserve">ProFun — Centre EBITDA after management fees 2037</t>
  </si>
  <si>
    <t xml:space="preserve">ProFun — Centre EBITDA after management fees 2038</t>
  </si>
  <si>
    <t xml:space="preserve">ProFun — Centre EBITDA after management fees 2039</t>
  </si>
  <si>
    <t xml:space="preserve">ProFun — Centre EBITDA after management fees 2040</t>
  </si>
  <si>
    <t xml:space="preserve">ProFun — admissions revenue per visitor (SAR) 2028</t>
  </si>
  <si>
    <t xml:space="preserve">ProFun p.59: total admission purchases per cap (general, VIP, tour operator)</t>
  </si>
  <si>
    <t xml:space="preserve">ProFun — admissions revenue per visitor (SAR) 2029</t>
  </si>
  <si>
    <t xml:space="preserve">ProFun — admissions revenue per visitor (SAR) 2030</t>
  </si>
  <si>
    <t xml:space="preserve">ProFun — admissions revenue per visitor (SAR) 2031</t>
  </si>
  <si>
    <t xml:space="preserve">ProFun — admissions revenue per visitor (SAR) 2032</t>
  </si>
  <si>
    <t xml:space="preserve">ProFun — admissions revenue per visitor (SAR) 2033</t>
  </si>
  <si>
    <t xml:space="preserve">ProFun — admissions revenue per visitor (SAR) 2034</t>
  </si>
  <si>
    <t xml:space="preserve">ProFun — admissions revenue per visitor (SAR) 2035</t>
  </si>
  <si>
    <t xml:space="preserve">ProFun — admissions revenue per visitor (SAR) 2036</t>
  </si>
  <si>
    <t xml:space="preserve">ProFun — admissions revenue per visitor (SAR) 2037</t>
  </si>
  <si>
    <t xml:space="preserve">ProFun — admissions revenue per visitor (SAR) 2038</t>
  </si>
  <si>
    <t xml:space="preserve">ProFun — admissions revenue per visitor (SAR) 2039</t>
  </si>
  <si>
    <t xml:space="preserve">ProFun — admissions revenue per visitor (SAR) 2040</t>
  </si>
  <si>
    <t xml:space="preserve">ProFun — revenue per visitor (SAR) 2028</t>
  </si>
  <si>
    <t xml:space="preserve">ProFun p.59 per-cap; implies 1.14M visitors in 2028, 1.20M in 2031</t>
  </si>
  <si>
    <t xml:space="preserve">ProFun — revenue per visitor (SAR) 2029</t>
  </si>
  <si>
    <t xml:space="preserve">ProFun — revenue per visitor (SAR) 2030</t>
  </si>
  <si>
    <t xml:space="preserve">ProFun — revenue per visitor (SAR) 2031</t>
  </si>
  <si>
    <t xml:space="preserve">ProFun — revenue per visitor (SAR) 2032</t>
  </si>
  <si>
    <t xml:space="preserve">ProFun — revenue per visitor (SAR) 2033</t>
  </si>
  <si>
    <t xml:space="preserve">ProFun — revenue per visitor (SAR) 2034</t>
  </si>
  <si>
    <t xml:space="preserve">ProFun — revenue per visitor (SAR) 2035</t>
  </si>
  <si>
    <t xml:space="preserve">ProFun — revenue per visitor (SAR) 2036</t>
  </si>
  <si>
    <t xml:space="preserve">ProFun — revenue per visitor (SAR) 2037</t>
  </si>
  <si>
    <t xml:space="preserve">ProFun — revenue per visitor (SAR) 2038</t>
  </si>
  <si>
    <t xml:space="preserve">ProFun — revenue per visitor (SAR) 2039</t>
  </si>
  <si>
    <t xml:space="preserve">ProFun — revenue per visitor (SAR) 2040</t>
  </si>
  <si>
    <t xml:space="preserve">Centre EBITDA margin (before operator fees)</t>
  </si>
  <si>
    <t xml:space="preserve">LDP</t>
  </si>
  <si>
    <t xml:space="preserve">Midwam base fee (% revenue)</t>
  </si>
  <si>
    <t xml:space="preserve">Midwam incentive fee (% EBITDA)</t>
  </si>
  <si>
    <t xml:space="preserve">Content refresh (2028 prices, inflated)</t>
  </si>
  <si>
    <t xml:space="preserve">Shareholders' data: SAR 10M every 5 years</t>
  </si>
  <si>
    <t xml:space="preserve">Retail &amp; F&amp;B boulevard — Savills Tenant Mix &amp; Pro-forma (24 Jul 2024), scaled to the Phase 1 GLA</t>
  </si>
  <si>
    <t xml:space="preserve">Savills recommended GLA incl. mezzanine option (basis of the Savills pro-forma)</t>
  </si>
  <si>
    <t xml:space="preserve">sqm</t>
  </si>
  <si>
    <t xml:space="preserve">Savills p.5–7: 48,467 sqm units, outdoor, terraces &amp; storage + 5,300 sqm mezzanine</t>
  </si>
  <si>
    <t xml:space="preserve">Phase 1 GLA (Watanco Oct-2026 package)</t>
  </si>
  <si>
    <t xml:space="preserve">Watanco; expansion to Savills' recommended GLA as a later phase, per demand</t>
  </si>
  <si>
    <t xml:space="preserve">Phase 1 scale factor (Phase 1 GLA ÷ Savills GLA) applied to every Savills income line</t>
  </si>
  <si>
    <t xml:space="preserve">Tenant mix kept in Savills' proportions; rent rates per Savills</t>
  </si>
  <si>
    <t xml:space="preserve">Savills income line (SAR M, 53,987 sqm basis)</t>
  </si>
  <si>
    <t xml:space="preserve">Savills pro-forma p.7 (income summary including mezzanine)</t>
  </si>
  <si>
    <t xml:space="preserve">Rental income — units (base rent + revenue share)</t>
  </si>
  <si>
    <t xml:space="preserve">Rental income — specialty leasing (25 locations)</t>
  </si>
  <si>
    <t xml:space="preserve">Service charge income (15% of base rent)</t>
  </si>
  <si>
    <t xml:space="preserve">Marketing income (5% of annual rent)</t>
  </si>
  <si>
    <t xml:space="preserve">Sponsorship</t>
  </si>
  <si>
    <t xml:space="preserve">Media sales income</t>
  </si>
  <si>
    <t xml:space="preserve">Savills total revenue (53,987 sqm)</t>
  </si>
  <si>
    <t xml:space="preserve">Retail revenue at Phase 1 GLA (Savills lines × scale factor)</t>
  </si>
  <si>
    <t xml:space="preserve">Year 1 = 2029 (50% occupancy), Year 2 = 2030 (70%), Year 3 = 2031 stabilised (92%); the 2028 soft opening takes the Q4 factor</t>
  </si>
  <si>
    <t xml:space="preserve">Expansion from 38,597 sqm to Savills' recommended 48,467 sqm (53,987 sqm with mezzanine) is a later retail phase, taken as demand grows; it is not in the base case.</t>
  </si>
  <si>
    <t xml:space="preserve">Rent step-up every 3 years from 2031</t>
  </si>
  <si>
    <t xml:space="preserve">Common-area costs (2029 prices, inflated)</t>
  </si>
  <si>
    <t xml:space="preserve">Marketing expense (% retail revenue, offsets marketing income)</t>
  </si>
  <si>
    <t xml:space="preserve">Savills: 2.61 on 83.46 in year 3</t>
  </si>
  <si>
    <t xml:space="preserve">SPV overheads, land rent, zakat</t>
  </si>
  <si>
    <t xml:space="preserve">Asset management &amp; general administration — SPV overhead covering the asset-management role (2028 prices)</t>
  </si>
  <si>
    <t xml:space="preserve">Shareholders' data; replaces the separate Koushan AM fee</t>
  </si>
  <si>
    <t xml:space="preserve">Operating insurance (2028 prices)</t>
  </si>
  <si>
    <t xml:space="preserve">Overheads in 2028 (% of full year)</t>
  </si>
  <si>
    <t xml:space="preserve">Assumption (Watanco model)</t>
  </si>
  <si>
    <t xml:space="preserve">Cost inflation</t>
  </si>
  <si>
    <t xml:space="preserve">Al-Maqr fixed land rent</t>
  </si>
  <si>
    <t xml:space="preserve">Contract 23/007 and addendum 15 Apr 2024</t>
  </si>
  <si>
    <t xml:space="preserve">Rent-free period ends (decimal year)</t>
  </si>
  <si>
    <t xml:space="preserve">Verbal extension to 15 Apr 2028 — written confirmation outstanding</t>
  </si>
  <si>
    <t xml:space="preserve">Al-Maqr variable rent (% of all SPV revenue)</t>
  </si>
  <si>
    <t xml:space="preserve">Contract 23/007 Art. 6; applies to all SPV revenue (shareholders' confirmation)</t>
  </si>
  <si>
    <t xml:space="preserve">Zakat rate (applied to net profit after depreciation — simplification)</t>
  </si>
  <si>
    <t xml:space="preserve">ZATCA; zakat base simplified</t>
  </si>
  <si>
    <t xml:space="preserve">Depreciation life — buildings</t>
  </si>
  <si>
    <t xml:space="preserve">Accounting policy (to leasehold expiry)</t>
  </si>
  <si>
    <t xml:space="preserve">Depreciation life — FF&amp;E &amp; content</t>
  </si>
  <si>
    <t xml:space="preserve">Accounting policy</t>
  </si>
  <si>
    <t xml:space="preserve">FF&amp;E &amp; content share of GMP</t>
  </si>
  <si>
    <t xml:space="preserve">Hotel FF&amp;E 50 + Centre content 60 = 110 of 550</t>
  </si>
  <si>
    <t xml:space="preserve">Valuation &amp; returns</t>
  </si>
  <si>
    <t xml:space="preserve">Discount rate (project NPV)</t>
  </si>
  <si>
    <t xml:space="preserve">Exit year</t>
  </si>
  <si>
    <t xml:space="preserve">Shareholders' decision, 22 Oct 2026</t>
  </si>
  <si>
    <t xml:space="preserve">Exit cap rate (sensitivity 9–11%)</t>
  </si>
  <si>
    <t xml:space="preserve">Valuation cap rate at completion (lender's view)</t>
  </si>
  <si>
    <t xml:space="preserve">Watanco valuation study range 10–12%</t>
  </si>
  <si>
    <t xml:space="preserve">Koushan in-kind contribution — land</t>
  </si>
  <si>
    <t xml:space="preserve">Land area in Dar Al Qias valuation</t>
  </si>
  <si>
    <t xml:space="preserve">Dar Al Qias, 21 Mar 2024</t>
  </si>
  <si>
    <t xml:space="preserve">Land area handed over</t>
  </si>
  <si>
    <t xml:space="preserve">Al-Maqr handover Apr 2024 / Watanco teaser</t>
  </si>
  <si>
    <t xml:space="preserve">Market rent per Dar Al Qias (205,365 sqm)</t>
  </si>
  <si>
    <t xml:space="preserve">SAR M/yr</t>
  </si>
  <si>
    <t xml:space="preserve">Dar Al Qias p.1: conclusive market rental value</t>
  </si>
  <si>
    <t xml:space="preserve">NPV of lease-rent savings per Dar Al Qias</t>
  </si>
  <si>
    <t xml:space="preserve">Dar Al Qias summary</t>
  </si>
  <si>
    <t xml:space="preserve">Market rent pro-rated to 245,337 sqm</t>
  </si>
  <si>
    <t xml:space="preserve">NPV of rent savings pro-rated to 245,337 sqm (Koushan in-kind value, interim)</t>
  </si>
  <si>
    <t xml:space="preserve">Interim until certified valuation (Companies Law requirement for in-kind shares)</t>
  </si>
  <si>
    <t xml:space="preserve">Illustrative senior facility to Watanco from its financing banks (terms OUTSTANDING — placeholders for KPI sizing only)</t>
  </si>
  <si>
    <t xml:space="preserve">Facility as % of peak funding need</t>
  </si>
  <si>
    <t xml:space="preserve">Placeholder — to be agreed with Watanco's financing banks</t>
  </si>
  <si>
    <t xml:space="preserve">All-in profit/interest rate</t>
  </si>
  <si>
    <t xml:space="preserve">Placeholder</t>
  </si>
  <si>
    <t xml:space="preserve">Grace period (years from 2026): profit capitalised, no principal</t>
  </si>
  <si>
    <t xml:space="preserve">Placeholder — covers construction + opening year (repayment from 2030)</t>
  </si>
  <si>
    <t xml:space="preserve">Final maturity (years from 2026) — legal tenor</t>
  </si>
  <si>
    <t xml:space="preserve">Target DSCR for sculpted repayment (1.00 = 100% cash sweep)</t>
  </si>
  <si>
    <t xml:space="preserve">Placeholder — principal = CFADS ÷ target DSCR − profit</t>
  </si>
  <si>
    <t xml:space="preserve">Component allocation (for component schedules and standalone models)</t>
  </si>
  <si>
    <t xml:space="preserve">Hotel built-up area</t>
  </si>
  <si>
    <t xml:space="preserve">Watanco teaser: 600 keys on 40,000 sqm</t>
  </si>
  <si>
    <t xml:space="preserve">Experience Centre built-up area</t>
  </si>
  <si>
    <t xml:space="preserve">Watanco teaser / LDP</t>
  </si>
  <si>
    <t xml:space="preserve">Retail &amp; F&amp;B built-up area (incl. outdoor &amp; terraces)</t>
  </si>
  <si>
    <t xml:space="preserve">Savills assumed leasable area 48,467 sqm used as BUA proxy; 38,597 sqm net GLA</t>
  </si>
  <si>
    <t xml:space="preserve">Exhibit exit cap rate (Project Returns sheet)</t>
  </si>
  <si>
    <t xml:space="preserve">Conservative lender case; partners' assumption is 7%</t>
  </si>
  <si>
    <t xml:space="preserve">Experience Centre entertainment value per visit (2028 prices)</t>
  </si>
  <si>
    <t xml:space="preserve">LDP Report 6.0; Watanco teaser: ~1.0M visitors × SAR 78</t>
  </si>
  <si>
    <t xml:space="preserve">Retail net GLA — Phase 1 (linked to the retail inputs above)</t>
  </si>
  <si>
    <t xml:space="preserve">Watanco Oct-2026 package; Savills recommended GLA is a later phase</t>
  </si>
  <si>
    <t xml:space="preserve">Hotel included in the programme (1 = yes · 0 = Phase 1 only: retail + Centre)</t>
  </si>
  <si>
    <t xml:space="preserve">Hotel is Phase 2: construction from 2027 after construction permit and Al-Maqr approval (6–8 months)</t>
  </si>
  <si>
    <t xml:space="preserve">Hotel construction phasing — 2027</t>
  </si>
  <si>
    <t xml:space="preserve">24-month build from mid-2027 (permit + Al-Maqr approval 6–8 months)</t>
  </si>
  <si>
    <t xml:space="preserve">Hotel construction phasing — 2028</t>
  </si>
  <si>
    <t xml:space="preserve">Hotel construction phasing — 2029</t>
  </si>
  <si>
    <t xml:space="preserve">Completion mid-2029; hotel opens mid-2029</t>
  </si>
  <si>
    <t xml:space="preserve">Allocation rule: direct items (hotel FF&amp;E, Centre content, pre-opening) to their component; all other GMP items by built-up-area share; fixed land rent and SPV overheads between the flagged components (Centre and retail) in proportion to stabilised 2032 revenue.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</si>
</sst>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;\(#,##0\);\-"/>
    <numFmt numFmtId="166" formatCode="0.00"/>
    <numFmt numFmtId="167" formatCode="0.0%;\(0.0%\);\-"/>
    <numFmt numFmtId="168" formatCode="#,##0.0;\(#,##0.0\);\-"/>
    <numFmt numFmtId="169" formatCode="0.000"/>
    <numFmt numFmtId="170" formatCode="0"/>
    <numFmt numFmtId="171" formatCode="0.00\x"/>
    <numFmt numFmtId="172" formatCode="#,##0;\(#,##0\);\-"/>
    <numFmt numFmtId="173" formatCode="0.0%;\(0.0%\);\-"/>
    <numFmt numFmtId="174" formatCode="#,##0.0;\(#,##0.0\);\-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A3839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A8001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A80014"/>
      <name val="Arial"/>
      <family val="0"/>
      <charset val="1"/>
    </font>
    <font>
      <sz val="8"/>
      <color rgb="FF8C8C8C"/>
      <name val="Arial"/>
      <family val="0"/>
      <charset val="1"/>
    </font>
    <font>
      <b val="true"/>
      <i val="true"/>
      <sz val="11"/>
      <color rgb="FFA80014"/>
      <name val="Arial"/>
      <family val="0"/>
      <charset val="1"/>
    </font>
    <font>
      <i val="true"/>
      <sz val="10"/>
      <color rgb="FFA80014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10"/>
      <color rgb="FFA80014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color rgb="FF005430"/>
      <name val="Arial"/>
      <family val="0"/>
      <charset val="1"/>
    </font>
    <font>
      <sz val="10"/>
      <color rgb="FFA80014"/>
      <name val="Arial"/>
      <family val="0"/>
      <charset val="1"/>
    </font>
    <font>
      <sz val="9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9595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8B1A2B"/>
        <bgColor rgb="FF800000"/>
      </patternFill>
    </fill>
    <fill>
      <patternFill patternType="solid">
        <fgColor rgb="FFC6E0B4"/>
        <bgColor rgb="FFCCFFCC"/>
      </patternFill>
    </fill>
    <fill>
      <patternFill patternType="solid">
        <fgColor rgb="FF333333"/>
        <bgColor rgb="FF3A3839"/>
      </patternFill>
    </fill>
    <fill>
      <patternFill patternType="solid">
        <fgColor rgb="FFA80014"/>
        <bgColor rgb="FF800000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2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2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6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6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80014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5430"/>
      <rgbColor rgb="FF3A3839"/>
      <rgbColor rgb="FF8B1A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44"/>
    <col collapsed="false" customWidth="true" hidden="false" outlineLevel="0" max="3" min="3" style="0" width="8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9.75" hidden="false" customHeight="true" outlineLevel="0" collapsed="false">
      <c r="B5" s="3" t="s">
        <v>2</v>
      </c>
      <c r="C5" s="4" t="s">
        <v>3</v>
      </c>
    </row>
    <row r="6" customFormat="false" ht="39.75" hidden="false" customHeight="true" outlineLevel="0" collapsed="false">
      <c r="B6" s="3" t="s">
        <v>4</v>
      </c>
      <c r="C6" s="4" t="s">
        <v>5</v>
      </c>
    </row>
    <row r="7" customFormat="false" ht="39.75" hidden="false" customHeight="true" outlineLevel="0" collapsed="false">
      <c r="B7" s="3" t="s">
        <v>6</v>
      </c>
      <c r="C7" s="4" t="s">
        <v>7</v>
      </c>
    </row>
    <row r="8" customFormat="false" ht="39.75" hidden="false" customHeight="true" outlineLevel="0" collapsed="false">
      <c r="B8" s="3" t="s">
        <v>8</v>
      </c>
      <c r="C8" s="4" t="s">
        <v>9</v>
      </c>
    </row>
    <row r="9" customFormat="false" ht="39.75" hidden="false" customHeight="true" outlineLevel="0" collapsed="false">
      <c r="B9" s="3" t="s">
        <v>10</v>
      </c>
      <c r="C9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17" min="3" style="0" width="10.51"/>
  </cols>
  <sheetData>
    <row r="1" customFormat="false" ht="15" hidden="false" customHeight="false" outlineLevel="0" collapsed="false">
      <c r="A1" s="5" t="s">
        <v>12</v>
      </c>
    </row>
    <row r="2" customFormat="false" ht="15" hidden="false" customHeight="false" outlineLevel="0" collapsed="false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  <c r="P2" s="7" t="s">
        <v>28</v>
      </c>
      <c r="Q2" s="7" t="s">
        <v>29</v>
      </c>
    </row>
    <row r="3" customFormat="false" ht="15" hidden="false" customHeight="false" outlineLevel="0" collapsed="false">
      <c r="A3" s="8" t="s">
        <v>30</v>
      </c>
      <c r="C3" s="9" t="s">
        <v>31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36</v>
      </c>
      <c r="I3" s="9" t="s">
        <v>37</v>
      </c>
      <c r="J3" s="9" t="s">
        <v>38</v>
      </c>
      <c r="K3" s="9" t="s">
        <v>39</v>
      </c>
      <c r="L3" s="9" t="s">
        <v>40</v>
      </c>
      <c r="M3" s="9" t="s">
        <v>41</v>
      </c>
      <c r="N3" s="9" t="s">
        <v>42</v>
      </c>
      <c r="O3" s="9" t="s">
        <v>43</v>
      </c>
      <c r="P3" s="9" t="s">
        <v>44</v>
      </c>
      <c r="Q3" s="9" t="s">
        <v>45</v>
      </c>
    </row>
    <row r="4" customFormat="false" ht="15" hidden="false" customHeight="false" outlineLevel="0" collapsed="false">
      <c r="A4" s="10" t="s">
        <v>46</v>
      </c>
    </row>
    <row r="5" customFormat="false" ht="15" hidden="false" customHeight="false" outlineLevel="0" collapsed="false">
      <c r="A5" s="11" t="s">
        <v>47</v>
      </c>
      <c r="C5" s="12" t="n">
        <f aca="false">'Comp - Centre'!D34</f>
        <v>0</v>
      </c>
      <c r="D5" s="12" t="n">
        <f aca="false">'Comp - Centre'!E34</f>
        <v>0</v>
      </c>
      <c r="E5" s="12" t="n">
        <f aca="false">'Comp - Centre'!F34</f>
        <v>1135.11043412034</v>
      </c>
      <c r="F5" s="12" t="n">
        <f aca="false">'Comp - Centre'!G34</f>
        <v>1162.62360614349</v>
      </c>
      <c r="G5" s="12" t="n">
        <f aca="false">'Comp - Centre'!H34</f>
        <v>1182.9158110883</v>
      </c>
      <c r="H5" s="12" t="n">
        <f aca="false">'Comp - Centre'!I34</f>
        <v>1204.60293373799</v>
      </c>
      <c r="I5" s="12" t="n">
        <f aca="false">'Comp - Centre'!J34</f>
        <v>1245.05244409262</v>
      </c>
      <c r="J5" s="12" t="n">
        <f aca="false">'Comp - Centre'!K34</f>
        <v>1285.14468208652</v>
      </c>
      <c r="K5" s="12" t="n">
        <f aca="false">'Comp - Centre'!L34</f>
        <v>1331.93865959864</v>
      </c>
      <c r="L5" s="12" t="n">
        <f aca="false">'Comp - Centre'!M34</f>
        <v>1381.81818181818</v>
      </c>
      <c r="M5" s="12" t="n">
        <f aca="false">'Comp - Centre'!N34</f>
        <v>1417.29289271163</v>
      </c>
      <c r="N5" s="12" t="n">
        <f aca="false">'Comp - Centre'!O34</f>
        <v>1450.54896405171</v>
      </c>
      <c r="O5" s="12" t="n">
        <f aca="false">'Comp - Centre'!P34</f>
        <v>1481.15151515152</v>
      </c>
      <c r="P5" s="12" t="n">
        <f aca="false">'Comp - Centre'!Q34</f>
        <v>1514.52036237406</v>
      </c>
      <c r="Q5" s="12" t="n">
        <f aca="false">'Comp - Centre'!R34</f>
        <v>1549.30043877804</v>
      </c>
    </row>
    <row r="6" customFormat="false" ht="15" hidden="false" customHeight="false" outlineLevel="0" collapsed="false">
      <c r="A6" s="11" t="s">
        <v>48</v>
      </c>
      <c r="C6" s="12" t="n">
        <f aca="false">'Comp - Centre'!D33</f>
        <v>0</v>
      </c>
      <c r="D6" s="12" t="n">
        <f aca="false">'Comp - Centre'!E33</f>
        <v>0</v>
      </c>
      <c r="E6" s="12" t="n">
        <f aca="false">'Comp - Centre'!F33</f>
        <v>91.91</v>
      </c>
      <c r="F6" s="12" t="n">
        <f aca="false">'Comp - Centre'!G33</f>
        <v>95.06</v>
      </c>
      <c r="G6" s="12" t="n">
        <f aca="false">'Comp - Centre'!H33</f>
        <v>97.4</v>
      </c>
      <c r="H6" s="12" t="n">
        <f aca="false">'Comp - Centre'!I33</f>
        <v>98.85</v>
      </c>
      <c r="I6" s="12" t="n">
        <f aca="false">'Comp - Centre'!J33</f>
        <v>101.06</v>
      </c>
      <c r="J6" s="12" t="n">
        <f aca="false">'Comp - Centre'!K33</f>
        <v>103.33</v>
      </c>
      <c r="K6" s="12" t="n">
        <f aca="false">'Comp - Centre'!L33</f>
        <v>105.64</v>
      </c>
      <c r="L6" s="12" t="n">
        <f aca="false">'Comp - Centre'!M33</f>
        <v>108.02</v>
      </c>
      <c r="M6" s="12" t="n">
        <f aca="false">'Comp - Centre'!N33</f>
        <v>110.45</v>
      </c>
      <c r="N6" s="12" t="n">
        <f aca="false">'Comp - Centre'!O33</f>
        <v>112.94</v>
      </c>
      <c r="O6" s="12" t="n">
        <f aca="false">'Comp - Centre'!P33</f>
        <v>115.5</v>
      </c>
      <c r="P6" s="12" t="n">
        <f aca="false">'Comp - Centre'!Q33</f>
        <v>118.11</v>
      </c>
      <c r="Q6" s="12" t="n">
        <f aca="false">'Comp - Centre'!R33</f>
        <v>120.79</v>
      </c>
    </row>
    <row r="7" customFormat="false" ht="15" hidden="false" customHeight="false" outlineLevel="0" collapsed="false">
      <c r="A7" s="11" t="s">
        <v>49</v>
      </c>
      <c r="C7" s="12" t="n">
        <f aca="false">IF('Comp - Centre'!D31&gt;0,IF(Inputs!$B$88=2,'Comp - Centre'!D28,Inputs!$B$198*(1+Inputs!$B$166)^(2026-2028-Inputs!$B$9)),0)</f>
        <v>0</v>
      </c>
      <c r="D7" s="12" t="n">
        <f aca="false">IF('Comp - Centre'!E31&gt;0,IF(Inputs!$B$88=2,'Comp - Centre'!E28,Inputs!$B$198*(1+Inputs!$B$166)^(2027-2028-Inputs!$B$9)),0)</f>
        <v>0</v>
      </c>
      <c r="E7" s="12" t="n">
        <f aca="false">IF('Comp - Centre'!F31&gt;0,IF(Inputs!$B$88=2,'Comp - Centre'!F28,Inputs!$B$198*(1+Inputs!$B$166)^(2028-2028-Inputs!$B$9)),0)</f>
        <v>77.48</v>
      </c>
      <c r="F7" s="12" t="n">
        <f aca="false">IF('Comp - Centre'!G31&gt;0,IF(Inputs!$B$88=2,'Comp - Centre'!G28,Inputs!$B$198*(1+Inputs!$B$166)^(2029-2028-Inputs!$B$9)),0)</f>
        <v>80.33</v>
      </c>
      <c r="G7" s="12" t="n">
        <f aca="false">IF('Comp - Centre'!H31&gt;0,IF(Inputs!$B$88=2,'Comp - Centre'!H28,Inputs!$B$198*(1+Inputs!$B$166)^(2030-2028-Inputs!$B$9)),0)</f>
        <v>82.38</v>
      </c>
      <c r="H7" s="12" t="n">
        <f aca="false">IF('Comp - Centre'!I31&gt;0,IF(Inputs!$B$88=2,'Comp - Centre'!I28,Inputs!$B$198*(1+Inputs!$B$166)^(2031-2028-Inputs!$B$9)),0)</f>
        <v>83.53</v>
      </c>
      <c r="I7" s="12" t="n">
        <f aca="false">IF('Comp - Centre'!J31&gt;0,IF(Inputs!$B$88=2,'Comp - Centre'!J28,Inputs!$B$198*(1+Inputs!$B$166)^(2032-2028-Inputs!$B$9)),0)</f>
        <v>85.44</v>
      </c>
      <c r="J7" s="12" t="n">
        <f aca="false">IF('Comp - Centre'!K31&gt;0,IF(Inputs!$B$88=2,'Comp - Centre'!K28,Inputs!$B$198*(1+Inputs!$B$166)^(2033-2028-Inputs!$B$9)),0)</f>
        <v>87.39</v>
      </c>
      <c r="K7" s="12" t="n">
        <f aca="false">IF('Comp - Centre'!L31&gt;0,IF(Inputs!$B$88=2,'Comp - Centre'!L28,Inputs!$B$198*(1+Inputs!$B$166)^(2034-2028-Inputs!$B$9)),0)</f>
        <v>89.39</v>
      </c>
      <c r="L7" s="12" t="n">
        <f aca="false">IF('Comp - Centre'!M31&gt;0,IF(Inputs!$B$88=2,'Comp - Centre'!M28,Inputs!$B$198*(1+Inputs!$B$166)^(2035-2028-Inputs!$B$9)),0)</f>
        <v>91.44</v>
      </c>
      <c r="M7" s="12" t="n">
        <f aca="false">IF('Comp - Centre'!N31&gt;0,IF(Inputs!$B$88=2,'Comp - Centre'!N28,Inputs!$B$198*(1+Inputs!$B$166)^(2036-2028-Inputs!$B$9)),0)</f>
        <v>93.54</v>
      </c>
      <c r="N7" s="12" t="n">
        <f aca="false">IF('Comp - Centre'!O31&gt;0,IF(Inputs!$B$88=2,'Comp - Centre'!O28,Inputs!$B$198*(1+Inputs!$B$166)^(2037-2028-Inputs!$B$9)),0)</f>
        <v>95.69</v>
      </c>
      <c r="O7" s="12" t="n">
        <f aca="false">IF('Comp - Centre'!P31&gt;0,IF(Inputs!$B$88=2,'Comp - Centre'!P28,Inputs!$B$198*(1+Inputs!$B$166)^(2038-2028-Inputs!$B$9)),0)</f>
        <v>97.9</v>
      </c>
      <c r="P7" s="12" t="n">
        <f aca="false">IF('Comp - Centre'!Q31&gt;0,IF(Inputs!$B$88=2,'Comp - Centre'!Q28,Inputs!$B$198*(1+Inputs!$B$166)^(2039-2028-Inputs!$B$9)),0)</f>
        <v>100.16</v>
      </c>
      <c r="Q7" s="12" t="n">
        <f aca="false">IF('Comp - Centre'!R31&gt;0,IF(Inputs!$B$88=2,'Comp - Centre'!R28,Inputs!$B$198*(1+Inputs!$B$166)^(2040-2028-Inputs!$B$9)),0)</f>
        <v>102.49</v>
      </c>
    </row>
    <row r="8" customFormat="false" ht="15" hidden="false" customHeight="false" outlineLevel="0" collapsed="false">
      <c r="A8" s="11" t="s">
        <v>50</v>
      </c>
      <c r="C8" s="13" t="n">
        <f aca="false">'Comp - Centre'!D31</f>
        <v>0</v>
      </c>
      <c r="D8" s="13" t="n">
        <f aca="false">'Comp - Centre'!E31</f>
        <v>0</v>
      </c>
      <c r="E8" s="13" t="n">
        <f aca="false">'Comp - Centre'!F31</f>
        <v>0.25</v>
      </c>
      <c r="F8" s="13" t="n">
        <f aca="false">'Comp - Centre'!G31</f>
        <v>1</v>
      </c>
      <c r="G8" s="13" t="n">
        <f aca="false">'Comp - Centre'!H31</f>
        <v>1</v>
      </c>
      <c r="H8" s="13" t="n">
        <f aca="false">'Comp - Centre'!I31</f>
        <v>1</v>
      </c>
      <c r="I8" s="13" t="n">
        <f aca="false">'Comp - Centre'!J31</f>
        <v>1</v>
      </c>
      <c r="J8" s="13" t="n">
        <f aca="false">'Comp - Centre'!K31</f>
        <v>1</v>
      </c>
      <c r="K8" s="13" t="n">
        <f aca="false">'Comp - Centre'!L31</f>
        <v>1</v>
      </c>
      <c r="L8" s="13" t="n">
        <f aca="false">'Comp - Centre'!M31</f>
        <v>1</v>
      </c>
      <c r="M8" s="13" t="n">
        <f aca="false">'Comp - Centre'!N31</f>
        <v>1</v>
      </c>
      <c r="N8" s="13" t="n">
        <f aca="false">'Comp - Centre'!O31</f>
        <v>1</v>
      </c>
      <c r="O8" s="13" t="n">
        <f aca="false">'Comp - Centre'!P31</f>
        <v>1</v>
      </c>
      <c r="P8" s="13" t="n">
        <f aca="false">'Comp - Centre'!Q31</f>
        <v>1</v>
      </c>
      <c r="Q8" s="13" t="n">
        <f aca="false">'Comp - Centre'!R31</f>
        <v>1</v>
      </c>
    </row>
    <row r="9" customFormat="false" ht="15" hidden="false" customHeight="false" outlineLevel="0" collapsed="false">
      <c r="A9" s="11" t="s">
        <v>51</v>
      </c>
      <c r="C9" s="14" t="n">
        <f aca="false">IF('Comp - Centre'!D32&gt;0,'Comp - Centre'!D38/'Comp - Centre'!D32,0)</f>
        <v>0</v>
      </c>
      <c r="D9" s="14" t="n">
        <f aca="false">IF('Comp - Centre'!E32&gt;0,'Comp - Centre'!E38/'Comp - Centre'!E32,0)</f>
        <v>0</v>
      </c>
      <c r="E9" s="14" t="n">
        <f aca="false">IF('Comp - Centre'!F32&gt;0,'Comp - Centre'!F38/'Comp - Centre'!F32,0)</f>
        <v>0.278007821486082</v>
      </c>
      <c r="F9" s="14" t="n">
        <f aca="false">IF('Comp - Centre'!G32&gt;0,'Comp - Centre'!G38/'Comp - Centre'!G32,0)</f>
        <v>0.316036156678942</v>
      </c>
      <c r="G9" s="14" t="n">
        <f aca="false">IF('Comp - Centre'!H32&gt;0,'Comp - Centre'!H38/'Comp - Centre'!H32,0)</f>
        <v>0.324709675739481</v>
      </c>
      <c r="H9" s="14" t="n">
        <f aca="false">IF('Comp - Centre'!I32&gt;0,'Comp - Centre'!I38/'Comp - Centre'!I32,0)</f>
        <v>0.32930689691371</v>
      </c>
      <c r="I9" s="14" t="n">
        <f aca="false">IF('Comp - Centre'!J32&gt;0,'Comp - Centre'!J38/'Comp - Centre'!J32,0)</f>
        <v>0.341461348847606</v>
      </c>
      <c r="J9" s="14" t="n">
        <f aca="false">IF('Comp - Centre'!K32&gt;0,'Comp - Centre'!K38/'Comp - Centre'!K32,0)</f>
        <v>0.353526391058472</v>
      </c>
      <c r="K9" s="14" t="n">
        <f aca="false">IF('Comp - Centre'!L32&gt;0,'Comp - Centre'!L38/'Comp - Centre'!L32,0)</f>
        <v>0.366285824084078</v>
      </c>
      <c r="L9" s="14" t="n">
        <f aca="false">IF('Comp - Centre'!M32&gt;0,'Comp - Centre'!M38/'Comp - Centre'!M32,0)</f>
        <v>0.379084229905828</v>
      </c>
      <c r="M9" s="14" t="n">
        <f aca="false">IF('Comp - Centre'!N32&gt;0,'Comp - Centre'!N38/'Comp - Centre'!N32,0)</f>
        <v>0.388355654816534</v>
      </c>
      <c r="N9" s="14" t="n">
        <f aca="false">IF('Comp - Centre'!O32&gt;0,'Comp - Centre'!O38/'Comp - Centre'!O32,0)</f>
        <v>0.396351436350402</v>
      </c>
      <c r="O9" s="14" t="n">
        <f aca="false">IF('Comp - Centre'!P32&gt;0,'Comp - Centre'!P38/'Comp - Centre'!P32,0)</f>
        <v>0.403505117181597</v>
      </c>
      <c r="P9" s="14" t="n">
        <f aca="false">IF('Comp - Centre'!Q32&gt;0,'Comp - Centre'!Q38/'Comp - Centre'!Q32,0)</f>
        <v>0.410749254720469</v>
      </c>
      <c r="Q9" s="14" t="n">
        <f aca="false">IF('Comp - Centre'!R32&gt;0,'Comp - Centre'!R38/'Comp - Centre'!R32,0)</f>
        <v>0.417998409487589</v>
      </c>
    </row>
    <row r="11" customFormat="false" ht="15" hidden="false" customHeight="false" outlineLevel="0" collapsed="false">
      <c r="A11" s="10" t="s">
        <v>52</v>
      </c>
    </row>
    <row r="12" customFormat="false" ht="15" hidden="false" customHeight="false" outlineLevel="0" collapsed="false">
      <c r="A12" s="15" t="s">
        <v>53</v>
      </c>
      <c r="B12" s="16" t="n">
        <f aca="false">SUM(C12:Q12)</f>
        <v>1776939</v>
      </c>
      <c r="C12" s="17" t="n">
        <f aca="false">'Comp - Centre'!D32*1000</f>
        <v>0</v>
      </c>
      <c r="D12" s="17" t="n">
        <f aca="false">'Comp - Centre'!E32*1000</f>
        <v>0</v>
      </c>
      <c r="E12" s="17" t="n">
        <f aca="false">'Comp - Centre'!F32*1000</f>
        <v>26082</v>
      </c>
      <c r="F12" s="17" t="n">
        <f aca="false">'Comp - Centre'!G32*1000</f>
        <v>110519</v>
      </c>
      <c r="G12" s="17" t="n">
        <f aca="false">'Comp - Centre'!H32*1000</f>
        <v>115216</v>
      </c>
      <c r="H12" s="17" t="n">
        <f aca="false">'Comp - Centre'!I32*1000</f>
        <v>119075</v>
      </c>
      <c r="I12" s="17" t="n">
        <f aca="false">'Comp - Centre'!J32*1000</f>
        <v>125825</v>
      </c>
      <c r="J12" s="17" t="n">
        <f aca="false">'Comp - Centre'!K32*1000</f>
        <v>132794</v>
      </c>
      <c r="K12" s="17" t="n">
        <f aca="false">'Comp - Centre'!L32*1000</f>
        <v>140706</v>
      </c>
      <c r="L12" s="17" t="n">
        <f aca="false">'Comp - Centre'!M32*1000</f>
        <v>149264</v>
      </c>
      <c r="M12" s="17" t="n">
        <f aca="false">'Comp - Centre'!N32*1000</f>
        <v>156540</v>
      </c>
      <c r="N12" s="17" t="n">
        <f aca="false">'Comp - Centre'!O32*1000</f>
        <v>163825</v>
      </c>
      <c r="O12" s="17" t="n">
        <f aca="false">'Comp - Centre'!P32*1000</f>
        <v>171073</v>
      </c>
      <c r="P12" s="17" t="n">
        <f aca="false">'Comp - Centre'!Q32*1000</f>
        <v>178880</v>
      </c>
      <c r="Q12" s="17" t="n">
        <f aca="false">'Comp - Centre'!R32*1000</f>
        <v>187140</v>
      </c>
    </row>
    <row r="13" customFormat="false" ht="15" hidden="false" customHeight="false" outlineLevel="0" collapsed="false">
      <c r="A13" s="15" t="s">
        <v>54</v>
      </c>
      <c r="B13" s="16" t="n">
        <f aca="false">SUM(C13:Q13)</f>
        <v>663289.116411804</v>
      </c>
      <c r="C13" s="17" t="n">
        <f aca="false">'Comp - Centre'!D38*1000</f>
        <v>0</v>
      </c>
      <c r="D13" s="17" t="n">
        <f aca="false">'Comp - Centre'!E38*1000</f>
        <v>0</v>
      </c>
      <c r="E13" s="17" t="n">
        <f aca="false">'Comp - Centre'!F38*1000</f>
        <v>7251</v>
      </c>
      <c r="F13" s="17" t="n">
        <f aca="false">'Comp - Centre'!G38*1000</f>
        <v>34928</v>
      </c>
      <c r="G13" s="17" t="n">
        <f aca="false">'Comp - Centre'!H38*1000</f>
        <v>37411.75</v>
      </c>
      <c r="H13" s="17" t="n">
        <f aca="false">'Comp - Centre'!I38*1000</f>
        <v>39212.21875</v>
      </c>
      <c r="I13" s="17" t="n">
        <f aca="false">'Comp - Centre'!J38*1000</f>
        <v>42964.37421875</v>
      </c>
      <c r="J13" s="17" t="n">
        <f aca="false">'Comp - Centre'!K38*1000</f>
        <v>46946.1835742188</v>
      </c>
      <c r="K13" s="17" t="n">
        <f aca="false">'Comp - Centre'!L38*1000</f>
        <v>51538.6131635742</v>
      </c>
      <c r="L13" s="17" t="n">
        <f aca="false">'Comp - Centre'!M38*1000</f>
        <v>56583.6284926636</v>
      </c>
      <c r="M13" s="17" t="n">
        <f aca="false">'Comp - Centre'!N38*1000</f>
        <v>60793.1942049802</v>
      </c>
      <c r="N13" s="17" t="n">
        <f aca="false">'Comp - Centre'!O38*1000</f>
        <v>64932.2740601047</v>
      </c>
      <c r="O13" s="17" t="n">
        <f aca="false">'Comp - Centre'!P38*1000</f>
        <v>69028.8309116073</v>
      </c>
      <c r="P13" s="17" t="n">
        <f aca="false">'Comp - Centre'!Q38*1000</f>
        <v>73474.8266843975</v>
      </c>
      <c r="Q13" s="17" t="n">
        <f aca="false">'Comp - Centre'!R38*1000</f>
        <v>78224.2223515074</v>
      </c>
    </row>
    <row r="14" customFormat="false" ht="15" hidden="false" customHeight="false" outlineLevel="0" collapsed="false">
      <c r="A14" s="11" t="s">
        <v>55</v>
      </c>
      <c r="B14" s="16" t="n">
        <f aca="false">SUM(C14:Q14)</f>
        <v>0</v>
      </c>
      <c r="C14" s="12" t="n">
        <f aca="false">'Comp - Centre'!D41*1000</f>
        <v>-0</v>
      </c>
      <c r="D14" s="12" t="n">
        <f aca="false">'Comp - Centre'!E41*1000</f>
        <v>-0</v>
      </c>
      <c r="E14" s="12" t="n">
        <f aca="false">'Comp - Centre'!F41*1000</f>
        <v>-0</v>
      </c>
      <c r="F14" s="12" t="n">
        <f aca="false">'Comp - Centre'!G41*1000</f>
        <v>-0</v>
      </c>
      <c r="G14" s="12" t="n">
        <f aca="false">'Comp - Centre'!H41*1000</f>
        <v>-0</v>
      </c>
      <c r="H14" s="12" t="n">
        <f aca="false">'Comp - Centre'!I41*1000</f>
        <v>-0</v>
      </c>
      <c r="I14" s="12" t="n">
        <f aca="false">'Comp - Centre'!J41*1000</f>
        <v>-0</v>
      </c>
      <c r="J14" s="12" t="n">
        <f aca="false">'Comp - Centre'!K41*1000</f>
        <v>-0</v>
      </c>
      <c r="K14" s="12" t="n">
        <f aca="false">'Comp - Centre'!L41*1000</f>
        <v>-0</v>
      </c>
      <c r="L14" s="12" t="n">
        <f aca="false">'Comp - Centre'!M41*1000</f>
        <v>-0</v>
      </c>
      <c r="M14" s="12" t="n">
        <f aca="false">'Comp - Centre'!N41*1000</f>
        <v>-0</v>
      </c>
      <c r="N14" s="12" t="n">
        <f aca="false">'Comp - Centre'!O41*1000</f>
        <v>-0</v>
      </c>
      <c r="O14" s="12" t="n">
        <f aca="false">'Comp - Centre'!P41*1000</f>
        <v>-0</v>
      </c>
      <c r="P14" s="12" t="n">
        <f aca="false">'Comp - Centre'!Q41*1000</f>
        <v>-0</v>
      </c>
      <c r="Q14" s="12" t="n">
        <f aca="false">'Comp - Centre'!R41*1000</f>
        <v>-0</v>
      </c>
    </row>
    <row r="15" customFormat="false" ht="15" hidden="false" customHeight="false" outlineLevel="0" collapsed="false">
      <c r="A15" s="11" t="s">
        <v>56</v>
      </c>
      <c r="B15" s="16" t="n">
        <f aca="false">SUM(C15:Q15)</f>
        <v>-35538.78</v>
      </c>
      <c r="C15" s="12" t="n">
        <f aca="false">'Comp - Centre'!D42*1000</f>
        <v>-0</v>
      </c>
      <c r="D15" s="12" t="n">
        <f aca="false">'Comp - Centre'!E42*1000</f>
        <v>-0</v>
      </c>
      <c r="E15" s="12" t="n">
        <f aca="false">'Comp - Centre'!F42*1000</f>
        <v>-521.64</v>
      </c>
      <c r="F15" s="12" t="n">
        <f aca="false">'Comp - Centre'!G42*1000</f>
        <v>-2210.38</v>
      </c>
      <c r="G15" s="12" t="n">
        <f aca="false">'Comp - Centre'!H42*1000</f>
        <v>-2304.32</v>
      </c>
      <c r="H15" s="12" t="n">
        <f aca="false">'Comp - Centre'!I42*1000</f>
        <v>-2381.5</v>
      </c>
      <c r="I15" s="12" t="n">
        <f aca="false">'Comp - Centre'!J42*1000</f>
        <v>-2516.5</v>
      </c>
      <c r="J15" s="12" t="n">
        <f aca="false">'Comp - Centre'!K42*1000</f>
        <v>-2655.88</v>
      </c>
      <c r="K15" s="12" t="n">
        <f aca="false">'Comp - Centre'!L42*1000</f>
        <v>-2814.12</v>
      </c>
      <c r="L15" s="12" t="n">
        <f aca="false">'Comp - Centre'!M42*1000</f>
        <v>-2985.28</v>
      </c>
      <c r="M15" s="12" t="n">
        <f aca="false">'Comp - Centre'!N42*1000</f>
        <v>-3130.8</v>
      </c>
      <c r="N15" s="12" t="n">
        <f aca="false">'Comp - Centre'!O42*1000</f>
        <v>-3276.5</v>
      </c>
      <c r="O15" s="12" t="n">
        <f aca="false">'Comp - Centre'!P42*1000</f>
        <v>-3421.46</v>
      </c>
      <c r="P15" s="12" t="n">
        <f aca="false">'Comp - Centre'!Q42*1000</f>
        <v>-3577.6</v>
      </c>
      <c r="Q15" s="12" t="n">
        <f aca="false">'Comp - Centre'!R42*1000</f>
        <v>-3742.8</v>
      </c>
    </row>
    <row r="16" customFormat="false" ht="15" hidden="false" customHeight="false" outlineLevel="0" collapsed="false">
      <c r="A16" s="11" t="s">
        <v>57</v>
      </c>
      <c r="B16" s="16" t="n">
        <f aca="false">SUM(C16:Q16)</f>
        <v>-20778.6811148683</v>
      </c>
      <c r="C16" s="12" t="n">
        <f aca="false">'Comp - Centre'!D43*1000</f>
        <v>-0</v>
      </c>
      <c r="D16" s="12" t="n">
        <f aca="false">'Comp - Centre'!E43*1000</f>
        <v>-0</v>
      </c>
      <c r="E16" s="12" t="n">
        <f aca="false">'Comp - Centre'!F43*1000</f>
        <v>-1222.27535969813</v>
      </c>
      <c r="F16" s="12" t="n">
        <f aca="false">'Comp - Centre'!G43*1000</f>
        <v>-1629.70047959751</v>
      </c>
      <c r="G16" s="12" t="n">
        <f aca="false">'Comp - Centre'!H43*1000</f>
        <v>-1629.70047959751</v>
      </c>
      <c r="H16" s="12" t="n">
        <f aca="false">'Comp - Centre'!I43*1000</f>
        <v>-1629.70047959751</v>
      </c>
      <c r="I16" s="12" t="n">
        <f aca="false">'Comp - Centre'!J43*1000</f>
        <v>-1629.70047959751</v>
      </c>
      <c r="J16" s="12" t="n">
        <f aca="false">'Comp - Centre'!K43*1000</f>
        <v>-1629.70047959751</v>
      </c>
      <c r="K16" s="12" t="n">
        <f aca="false">'Comp - Centre'!L43*1000</f>
        <v>-1629.70047959751</v>
      </c>
      <c r="L16" s="12" t="n">
        <f aca="false">'Comp - Centre'!M43*1000</f>
        <v>-1629.70047959751</v>
      </c>
      <c r="M16" s="12" t="n">
        <f aca="false">'Comp - Centre'!N43*1000</f>
        <v>-1629.70047959751</v>
      </c>
      <c r="N16" s="12" t="n">
        <f aca="false">'Comp - Centre'!O43*1000</f>
        <v>-1629.70047959751</v>
      </c>
      <c r="O16" s="12" t="n">
        <f aca="false">'Comp - Centre'!P43*1000</f>
        <v>-1629.70047959751</v>
      </c>
      <c r="P16" s="12" t="n">
        <f aca="false">'Comp - Centre'!Q43*1000</f>
        <v>-1629.70047959751</v>
      </c>
      <c r="Q16" s="12" t="n">
        <f aca="false">'Comp - Centre'!R43*1000</f>
        <v>-1629.70047959751</v>
      </c>
    </row>
    <row r="17" customFormat="false" ht="15" hidden="false" customHeight="false" outlineLevel="0" collapsed="false">
      <c r="A17" s="11" t="s">
        <v>58</v>
      </c>
      <c r="B17" s="16" t="n">
        <f aca="false">SUM(C17:Q17)</f>
        <v>-114825.376427198</v>
      </c>
      <c r="C17" s="12" t="n">
        <f aca="false">'Comp - Centre'!D44*1000</f>
        <v>-0</v>
      </c>
      <c r="D17" s="12" t="n">
        <f aca="false">'Comp - Centre'!E44*1000</f>
        <v>-0</v>
      </c>
      <c r="E17" s="12" t="n">
        <f aca="false">'Comp - Centre'!F44*1000</f>
        <v>-3921.51336831534</v>
      </c>
      <c r="F17" s="12" t="n">
        <f aca="false">'Comp - Centre'!G44*1000</f>
        <v>-8039.10240504644</v>
      </c>
      <c r="G17" s="12" t="n">
        <f aca="false">'Comp - Centre'!H44*1000</f>
        <v>-8240.0799651726</v>
      </c>
      <c r="H17" s="12" t="n">
        <f aca="false">'Comp - Centre'!I44*1000</f>
        <v>-8446.08196430192</v>
      </c>
      <c r="I17" s="12" t="n">
        <f aca="false">'Comp - Centre'!J44*1000</f>
        <v>-8657.23401340946</v>
      </c>
      <c r="J17" s="12" t="n">
        <f aca="false">'Comp - Centre'!K44*1000</f>
        <v>-8873.6648637447</v>
      </c>
      <c r="K17" s="12" t="n">
        <f aca="false">'Comp - Centre'!L44*1000</f>
        <v>-9095.50648533831</v>
      </c>
      <c r="L17" s="12" t="n">
        <f aca="false">'Comp - Centre'!M44*1000</f>
        <v>-9322.89414747177</v>
      </c>
      <c r="M17" s="12" t="n">
        <f aca="false">'Comp - Centre'!N44*1000</f>
        <v>-9555.96650115856</v>
      </c>
      <c r="N17" s="12" t="n">
        <f aca="false">'Comp - Centre'!O44*1000</f>
        <v>-9794.86566368753</v>
      </c>
      <c r="O17" s="12" t="n">
        <f aca="false">'Comp - Centre'!P44*1000</f>
        <v>-10039.7373052797</v>
      </c>
      <c r="P17" s="12" t="n">
        <f aca="false">'Comp - Centre'!Q44*1000</f>
        <v>-10290.7307379117</v>
      </c>
      <c r="Q17" s="12" t="n">
        <f aca="false">'Comp - Centre'!R44*1000</f>
        <v>-10547.9990063595</v>
      </c>
    </row>
    <row r="18" customFormat="false" ht="15" hidden="false" customHeight="false" outlineLevel="0" collapsed="false">
      <c r="A18" s="18" t="s">
        <v>59</v>
      </c>
      <c r="B18" s="19" t="n">
        <f aca="false">SUM(C18:Q18)</f>
        <v>492146.278869738</v>
      </c>
      <c r="C18" s="20" t="n">
        <f aca="false">SUM(C13:C17)</f>
        <v>0</v>
      </c>
      <c r="D18" s="20" t="n">
        <f aca="false">SUM(D13:D17)</f>
        <v>0</v>
      </c>
      <c r="E18" s="20" t="n">
        <f aca="false">SUM(E13:E17)</f>
        <v>1585.57127198653</v>
      </c>
      <c r="F18" s="20" t="n">
        <f aca="false">SUM(F13:F17)</f>
        <v>23048.8171153561</v>
      </c>
      <c r="G18" s="20" t="n">
        <f aca="false">SUM(G13:G17)</f>
        <v>25237.6495552299</v>
      </c>
      <c r="H18" s="20" t="n">
        <f aca="false">SUM(H13:H17)</f>
        <v>26754.9363061006</v>
      </c>
      <c r="I18" s="20" t="n">
        <f aca="false">SUM(I13:I17)</f>
        <v>30160.939725743</v>
      </c>
      <c r="J18" s="20" t="n">
        <f aca="false">SUM(J13:J17)</f>
        <v>33786.9382308766</v>
      </c>
      <c r="K18" s="20" t="n">
        <f aca="false">SUM(K13:K17)</f>
        <v>37999.2861986384</v>
      </c>
      <c r="L18" s="20" t="n">
        <f aca="false">SUM(L13:L17)</f>
        <v>42645.7538655943</v>
      </c>
      <c r="M18" s="20" t="n">
        <f aca="false">SUM(M13:M17)</f>
        <v>46476.7272242241</v>
      </c>
      <c r="N18" s="20" t="n">
        <f aca="false">SUM(N13:N17)</f>
        <v>50231.2079168196</v>
      </c>
      <c r="O18" s="20" t="n">
        <f aca="false">SUM(O13:O17)</f>
        <v>53937.9331267301</v>
      </c>
      <c r="P18" s="20" t="n">
        <f aca="false">SUM(P13:P17)</f>
        <v>57976.7954668883</v>
      </c>
      <c r="Q18" s="20" t="n">
        <f aca="false">SUM(Q13:Q17)</f>
        <v>62303.7228655504</v>
      </c>
    </row>
    <row r="20" customFormat="false" ht="15" hidden="false" customHeight="false" outlineLevel="0" collapsed="false">
      <c r="A20" s="10" t="s">
        <v>60</v>
      </c>
    </row>
    <row r="21" customFormat="false" ht="15" hidden="false" customHeight="false" outlineLevel="0" collapsed="false">
      <c r="A21" s="21" t="s">
        <v>61</v>
      </c>
      <c r="B21" s="16" t="n">
        <f aca="false">SUM(C21:Q21)</f>
        <v>12565.3474281101</v>
      </c>
      <c r="C21" s="22" t="n">
        <f aca="false">'Comp - Centre'!D6*1000</f>
        <v>2899.69556033309</v>
      </c>
      <c r="D21" s="22" t="n">
        <f aca="false">'Comp - Centre'!E6*1000</f>
        <v>9665.65186777698</v>
      </c>
      <c r="E21" s="22" t="n">
        <f aca="false">'Comp - Centre'!F6*1000</f>
        <v>0</v>
      </c>
      <c r="F21" s="22" t="n">
        <f aca="false">'Comp - Centre'!G6*1000</f>
        <v>0</v>
      </c>
      <c r="G21" s="22" t="n">
        <f aca="false">'Comp - Centre'!H6*1000</f>
        <v>0</v>
      </c>
      <c r="H21" s="22" t="n">
        <f aca="false">'Comp - Centre'!I6*1000</f>
        <v>0</v>
      </c>
      <c r="I21" s="22" t="n">
        <f aca="false">'Comp - Centre'!J6*1000</f>
        <v>0</v>
      </c>
      <c r="J21" s="22" t="n">
        <f aca="false">'Comp - Centre'!K6*1000</f>
        <v>0</v>
      </c>
      <c r="K21" s="22" t="n">
        <f aca="false">'Comp - Centre'!L6*1000</f>
        <v>0</v>
      </c>
      <c r="L21" s="22" t="n">
        <f aca="false">'Comp - Centre'!M6*1000</f>
        <v>0</v>
      </c>
      <c r="M21" s="22" t="n">
        <f aca="false">'Comp - Centre'!N6*1000</f>
        <v>0</v>
      </c>
      <c r="N21" s="22" t="n">
        <f aca="false">'Comp - Centre'!O6*1000</f>
        <v>0</v>
      </c>
      <c r="O21" s="22" t="n">
        <f aca="false">'Comp - Centre'!P6*1000</f>
        <v>0</v>
      </c>
      <c r="P21" s="22" t="n">
        <f aca="false">'Comp - Centre'!Q6*1000</f>
        <v>0</v>
      </c>
      <c r="Q21" s="22" t="n">
        <f aca="false">'Comp - Centre'!R6*1000</f>
        <v>0</v>
      </c>
    </row>
    <row r="22" customFormat="false" ht="15" hidden="false" customHeight="false" outlineLevel="0" collapsed="false">
      <c r="A22" s="21" t="s">
        <v>62</v>
      </c>
      <c r="B22" s="16" t="n">
        <f aca="false">SUM(C22:Q22)</f>
        <v>11598.7822413324</v>
      </c>
      <c r="C22" s="22" t="n">
        <f aca="false">'Comp - Centre'!D7*1000</f>
        <v>0</v>
      </c>
      <c r="D22" s="22" t="n">
        <f aca="false">'Comp - Centre'!E7*1000</f>
        <v>6388.99588460058</v>
      </c>
      <c r="E22" s="22" t="n">
        <f aca="false">'Comp - Centre'!F7*1000</f>
        <v>5209.78635673179</v>
      </c>
      <c r="F22" s="22" t="n">
        <f aca="false">'Comp - Centre'!G7*1000</f>
        <v>0</v>
      </c>
      <c r="G22" s="22" t="n">
        <f aca="false">'Comp - Centre'!H7*1000</f>
        <v>0</v>
      </c>
      <c r="H22" s="22" t="n">
        <f aca="false">'Comp - Centre'!I7*1000</f>
        <v>0</v>
      </c>
      <c r="I22" s="22" t="n">
        <f aca="false">'Comp - Centre'!J7*1000</f>
        <v>0</v>
      </c>
      <c r="J22" s="22" t="n">
        <f aca="false">'Comp - Centre'!K7*1000</f>
        <v>0</v>
      </c>
      <c r="K22" s="22" t="n">
        <f aca="false">'Comp - Centre'!L7*1000</f>
        <v>0</v>
      </c>
      <c r="L22" s="22" t="n">
        <f aca="false">'Comp - Centre'!M7*1000</f>
        <v>0</v>
      </c>
      <c r="M22" s="22" t="n">
        <f aca="false">'Comp - Centre'!N7*1000</f>
        <v>0</v>
      </c>
      <c r="N22" s="22" t="n">
        <f aca="false">'Comp - Centre'!O7*1000</f>
        <v>0</v>
      </c>
      <c r="O22" s="22" t="n">
        <f aca="false">'Comp - Centre'!P7*1000</f>
        <v>0</v>
      </c>
      <c r="P22" s="22" t="n">
        <f aca="false">'Comp - Centre'!Q7*1000</f>
        <v>0</v>
      </c>
      <c r="Q22" s="22" t="n">
        <f aca="false">'Comp - Centre'!R7*1000</f>
        <v>0</v>
      </c>
    </row>
    <row r="23" customFormat="false" ht="15" hidden="false" customHeight="false" outlineLevel="0" collapsed="false">
      <c r="A23" s="21" t="s">
        <v>63</v>
      </c>
      <c r="B23" s="16" t="n">
        <f aca="false">SUM(C23:Q23)</f>
        <v>11861.9563074439</v>
      </c>
      <c r="C23" s="22" t="n">
        <f aca="false">'Comp - Centre'!D8*1000</f>
        <v>0</v>
      </c>
      <c r="D23" s="22" t="n">
        <f aca="false">'Comp - Centre'!E8*1000</f>
        <v>7489.97812555742</v>
      </c>
      <c r="E23" s="22" t="n">
        <f aca="false">'Comp - Centre'!F8*1000</f>
        <v>4371.97818188646</v>
      </c>
      <c r="F23" s="22" t="n">
        <f aca="false">'Comp - Centre'!G8*1000</f>
        <v>0</v>
      </c>
      <c r="G23" s="22" t="n">
        <f aca="false">'Comp - Centre'!H8*1000</f>
        <v>0</v>
      </c>
      <c r="H23" s="22" t="n">
        <f aca="false">'Comp - Centre'!I8*1000</f>
        <v>0</v>
      </c>
      <c r="I23" s="22" t="n">
        <f aca="false">'Comp - Centre'!J8*1000</f>
        <v>0</v>
      </c>
      <c r="J23" s="22" t="n">
        <f aca="false">'Comp - Centre'!K8*1000</f>
        <v>0</v>
      </c>
      <c r="K23" s="22" t="n">
        <f aca="false">'Comp - Centre'!L8*1000</f>
        <v>0</v>
      </c>
      <c r="L23" s="22" t="n">
        <f aca="false">'Comp - Centre'!M8*1000</f>
        <v>0</v>
      </c>
      <c r="M23" s="22" t="n">
        <f aca="false">'Comp - Centre'!N8*1000</f>
        <v>0</v>
      </c>
      <c r="N23" s="22" t="n">
        <f aca="false">'Comp - Centre'!O8*1000</f>
        <v>0</v>
      </c>
      <c r="O23" s="22" t="n">
        <f aca="false">'Comp - Centre'!P8*1000</f>
        <v>0</v>
      </c>
      <c r="P23" s="22" t="n">
        <f aca="false">'Comp - Centre'!Q8*1000</f>
        <v>0</v>
      </c>
      <c r="Q23" s="22" t="n">
        <f aca="false">'Comp - Centre'!R8*1000</f>
        <v>0</v>
      </c>
    </row>
    <row r="24" customFormat="false" ht="15" hidden="false" customHeight="false" outlineLevel="0" collapsed="false">
      <c r="A24" s="21" t="s">
        <v>64</v>
      </c>
      <c r="B24" s="16" t="n">
        <f aca="false">SUM(C24:Q24)</f>
        <v>11031.6193659228</v>
      </c>
      <c r="C24" s="22" t="n">
        <f aca="false">'Comp - Centre'!D9*1000</f>
        <v>457.532600429978</v>
      </c>
      <c r="D24" s="22" t="n">
        <f aca="false">'Comp - Centre'!E9*1000</f>
        <v>5354.82599021753</v>
      </c>
      <c r="E24" s="22" t="n">
        <f aca="false">'Comp - Centre'!F9*1000</f>
        <v>5219.26077527531</v>
      </c>
      <c r="F24" s="22" t="n">
        <f aca="false">'Comp - Centre'!G9*1000</f>
        <v>0</v>
      </c>
      <c r="G24" s="22" t="n">
        <f aca="false">'Comp - Centre'!H9*1000</f>
        <v>0</v>
      </c>
      <c r="H24" s="22" t="n">
        <f aca="false">'Comp - Centre'!I9*1000</f>
        <v>0</v>
      </c>
      <c r="I24" s="22" t="n">
        <f aca="false">'Comp - Centre'!J9*1000</f>
        <v>0</v>
      </c>
      <c r="J24" s="22" t="n">
        <f aca="false">'Comp - Centre'!K9*1000</f>
        <v>0</v>
      </c>
      <c r="K24" s="22" t="n">
        <f aca="false">'Comp - Centre'!L9*1000</f>
        <v>0</v>
      </c>
      <c r="L24" s="22" t="n">
        <f aca="false">'Comp - Centre'!M9*1000</f>
        <v>0</v>
      </c>
      <c r="M24" s="22" t="n">
        <f aca="false">'Comp - Centre'!N9*1000</f>
        <v>0</v>
      </c>
      <c r="N24" s="22" t="n">
        <f aca="false">'Comp - Centre'!O9*1000</f>
        <v>0</v>
      </c>
      <c r="O24" s="22" t="n">
        <f aca="false">'Comp - Centre'!P9*1000</f>
        <v>0</v>
      </c>
      <c r="P24" s="22" t="n">
        <f aca="false">'Comp - Centre'!Q9*1000</f>
        <v>0</v>
      </c>
      <c r="Q24" s="22" t="n">
        <f aca="false">'Comp - Centre'!R9*1000</f>
        <v>0</v>
      </c>
    </row>
    <row r="25" customFormat="false" ht="15" hidden="false" customHeight="false" outlineLevel="0" collapsed="false">
      <c r="A25" s="21" t="s">
        <v>65</v>
      </c>
      <c r="B25" s="16" t="n">
        <f aca="false">SUM(C25:Q25)</f>
        <v>60000</v>
      </c>
      <c r="C25" s="22" t="n">
        <f aca="false">('Comp - Centre'!D10+'Comp - Centre'!D11)*1000</f>
        <v>0</v>
      </c>
      <c r="D25" s="22" t="n">
        <f aca="false">('Comp - Centre'!E10+'Comp - Centre'!E11)*1000</f>
        <v>21800</v>
      </c>
      <c r="E25" s="22" t="n">
        <f aca="false">('Comp - Centre'!F10+'Comp - Centre'!F11)*1000</f>
        <v>38200</v>
      </c>
      <c r="F25" s="22" t="n">
        <f aca="false">('Comp - Centre'!G10+'Comp - Centre'!G11)*1000</f>
        <v>0</v>
      </c>
      <c r="G25" s="22" t="n">
        <f aca="false">('Comp - Centre'!H10+'Comp - Centre'!H11)*1000</f>
        <v>0</v>
      </c>
      <c r="H25" s="22" t="n">
        <f aca="false">('Comp - Centre'!I10+'Comp - Centre'!I11)*1000</f>
        <v>0</v>
      </c>
      <c r="I25" s="22" t="n">
        <f aca="false">('Comp - Centre'!J10+'Comp - Centre'!J11)*1000</f>
        <v>0</v>
      </c>
      <c r="J25" s="22" t="n">
        <f aca="false">('Comp - Centre'!K10+'Comp - Centre'!K11)*1000</f>
        <v>0</v>
      </c>
      <c r="K25" s="22" t="n">
        <f aca="false">('Comp - Centre'!L10+'Comp - Centre'!L11)*1000</f>
        <v>0</v>
      </c>
      <c r="L25" s="22" t="n">
        <f aca="false">('Comp - Centre'!M10+'Comp - Centre'!M11)*1000</f>
        <v>0</v>
      </c>
      <c r="M25" s="22" t="n">
        <f aca="false">('Comp - Centre'!N10+'Comp - Centre'!N11)*1000</f>
        <v>0</v>
      </c>
      <c r="N25" s="22" t="n">
        <f aca="false">('Comp - Centre'!O10+'Comp - Centre'!O11)*1000</f>
        <v>0</v>
      </c>
      <c r="O25" s="22" t="n">
        <f aca="false">('Comp - Centre'!P10+'Comp - Centre'!P11)*1000</f>
        <v>0</v>
      </c>
      <c r="P25" s="22" t="n">
        <f aca="false">('Comp - Centre'!Q10+'Comp - Centre'!Q11)*1000</f>
        <v>0</v>
      </c>
      <c r="Q25" s="22" t="n">
        <f aca="false">('Comp - Centre'!R10+'Comp - Centre'!R11)*1000</f>
        <v>0</v>
      </c>
    </row>
    <row r="26" customFormat="false" ht="15" hidden="false" customHeight="false" outlineLevel="0" collapsed="false">
      <c r="A26" s="21" t="s">
        <v>66</v>
      </c>
      <c r="B26" s="16" t="n">
        <f aca="false">SUM(C26:Q26)</f>
        <v>2541.84778016655</v>
      </c>
      <c r="C26" s="22" t="n">
        <f aca="false">('Comp - Centre'!D12+'Comp - Centre'!D13)*1000</f>
        <v>355.858689223317</v>
      </c>
      <c r="D26" s="22" t="n">
        <f aca="false">('Comp - Centre'!E12+'Comp - Centre'!E13)*1000</f>
        <v>1592.89127557104</v>
      </c>
      <c r="E26" s="22" t="n">
        <f aca="false">('Comp - Centre'!F12+'Comp - Centre'!F13)*1000</f>
        <v>593.097815372194</v>
      </c>
      <c r="F26" s="22" t="n">
        <f aca="false">('Comp - Centre'!G12+'Comp - Centre'!G13)*1000</f>
        <v>0</v>
      </c>
      <c r="G26" s="22" t="n">
        <f aca="false">('Comp - Centre'!H12+'Comp - Centre'!H13)*1000</f>
        <v>0</v>
      </c>
      <c r="H26" s="22" t="n">
        <f aca="false">('Comp - Centre'!I12+'Comp - Centre'!I13)*1000</f>
        <v>0</v>
      </c>
      <c r="I26" s="22" t="n">
        <f aca="false">('Comp - Centre'!J12+'Comp - Centre'!J13)*1000</f>
        <v>0</v>
      </c>
      <c r="J26" s="22" t="n">
        <f aca="false">('Comp - Centre'!K12+'Comp - Centre'!K13)*1000</f>
        <v>0</v>
      </c>
      <c r="K26" s="22" t="n">
        <f aca="false">('Comp - Centre'!L12+'Comp - Centre'!L13)*1000</f>
        <v>0</v>
      </c>
      <c r="L26" s="22" t="n">
        <f aca="false">('Comp - Centre'!M12+'Comp - Centre'!M13)*1000</f>
        <v>0</v>
      </c>
      <c r="M26" s="22" t="n">
        <f aca="false">('Comp - Centre'!N12+'Comp - Centre'!N13)*1000</f>
        <v>0</v>
      </c>
      <c r="N26" s="22" t="n">
        <f aca="false">('Comp - Centre'!O12+'Comp - Centre'!O13)*1000</f>
        <v>0</v>
      </c>
      <c r="O26" s="22" t="n">
        <f aca="false">('Comp - Centre'!P12+'Comp - Centre'!P13)*1000</f>
        <v>0</v>
      </c>
      <c r="P26" s="22" t="n">
        <f aca="false">('Comp - Centre'!Q12+'Comp - Centre'!Q13)*1000</f>
        <v>0</v>
      </c>
      <c r="Q26" s="22" t="n">
        <f aca="false">('Comp - Centre'!R12+'Comp - Centre'!R13)*1000</f>
        <v>0</v>
      </c>
    </row>
    <row r="27" customFormat="false" ht="15" hidden="false" customHeight="false" outlineLevel="0" collapsed="false">
      <c r="A27" s="21" t="s">
        <v>67</v>
      </c>
      <c r="B27" s="16" t="n">
        <f aca="false">SUM(C27:Q27)</f>
        <v>4744.78252297755</v>
      </c>
      <c r="C27" s="22" t="n">
        <f aca="false">('Comp - Centre'!D14+'Comp - Centre'!D15+'Comp - Centre'!D16)*1000</f>
        <v>2999.38038059653</v>
      </c>
      <c r="D27" s="22" t="n">
        <f aca="false">('Comp - Centre'!E14+'Comp - Centre'!E15+'Comp - Centre'!E16)*1000</f>
        <v>1355.65214942216</v>
      </c>
      <c r="E27" s="22" t="n">
        <f aca="false">('Comp - Centre'!F14+'Comp - Centre'!F15+'Comp - Centre'!F16)*1000</f>
        <v>389.74999295887</v>
      </c>
      <c r="F27" s="22" t="n">
        <f aca="false">('Comp - Centre'!G14+'Comp - Centre'!G15+'Comp - Centre'!G16)*1000</f>
        <v>0</v>
      </c>
      <c r="G27" s="22" t="n">
        <f aca="false">('Comp - Centre'!H14+'Comp - Centre'!H15+'Comp - Centre'!H16)*1000</f>
        <v>0</v>
      </c>
      <c r="H27" s="22" t="n">
        <f aca="false">('Comp - Centre'!I14+'Comp - Centre'!I15+'Comp - Centre'!I16)*1000</f>
        <v>0</v>
      </c>
      <c r="I27" s="22" t="n">
        <f aca="false">('Comp - Centre'!J14+'Comp - Centre'!J15+'Comp - Centre'!J16)*1000</f>
        <v>0</v>
      </c>
      <c r="J27" s="22" t="n">
        <f aca="false">('Comp - Centre'!K14+'Comp - Centre'!K15+'Comp - Centre'!K16)*1000</f>
        <v>0</v>
      </c>
      <c r="K27" s="22" t="n">
        <f aca="false">('Comp - Centre'!L14+'Comp - Centre'!L15+'Comp - Centre'!L16)*1000</f>
        <v>0</v>
      </c>
      <c r="L27" s="22" t="n">
        <f aca="false">('Comp - Centre'!M14+'Comp - Centre'!M15+'Comp - Centre'!M16)*1000</f>
        <v>0</v>
      </c>
      <c r="M27" s="22" t="n">
        <f aca="false">('Comp - Centre'!N14+'Comp - Centre'!N15+'Comp - Centre'!N16)*1000</f>
        <v>0</v>
      </c>
      <c r="N27" s="22" t="n">
        <f aca="false">('Comp - Centre'!O14+'Comp - Centre'!O15+'Comp - Centre'!O16)*1000</f>
        <v>0</v>
      </c>
      <c r="O27" s="22" t="n">
        <f aca="false">('Comp - Centre'!P14+'Comp - Centre'!P15+'Comp - Centre'!P16)*1000</f>
        <v>0</v>
      </c>
      <c r="P27" s="22" t="n">
        <f aca="false">('Comp - Centre'!Q14+'Comp - Centre'!Q15+'Comp - Centre'!Q16)*1000</f>
        <v>0</v>
      </c>
      <c r="Q27" s="22" t="n">
        <f aca="false">('Comp - Centre'!R14+'Comp - Centre'!R15+'Comp - Centre'!R16)*1000</f>
        <v>0</v>
      </c>
    </row>
    <row r="28" customFormat="false" ht="15" hidden="false" customHeight="false" outlineLevel="0" collapsed="false">
      <c r="A28" s="21" t="s">
        <v>68</v>
      </c>
      <c r="B28" s="16" t="n">
        <f aca="false">SUM(C28:Q28)</f>
        <v>2033.47822413324</v>
      </c>
      <c r="C28" s="22" t="n">
        <f aca="false">('Comp - Centre'!D17+'Comp - Centre'!D18)*1000</f>
        <v>152.510866809993</v>
      </c>
      <c r="D28" s="22" t="n">
        <f aca="false">('Comp - Centre'!E17+'Comp - Centre'!E18)*1000</f>
        <v>508.369556033309</v>
      </c>
      <c r="E28" s="22" t="n">
        <f aca="false">('Comp - Centre'!F17+'Comp - Centre'!F18)*1000</f>
        <v>1372.59780128994</v>
      </c>
      <c r="F28" s="22" t="n">
        <f aca="false">('Comp - Centre'!G17+'Comp - Centre'!G18)*1000</f>
        <v>0</v>
      </c>
      <c r="G28" s="22" t="n">
        <f aca="false">('Comp - Centre'!H17+'Comp - Centre'!H18)*1000</f>
        <v>0</v>
      </c>
      <c r="H28" s="22" t="n">
        <f aca="false">('Comp - Centre'!I17+'Comp - Centre'!I18)*1000</f>
        <v>0</v>
      </c>
      <c r="I28" s="22" t="n">
        <f aca="false">('Comp - Centre'!J17+'Comp - Centre'!J18)*1000</f>
        <v>0</v>
      </c>
      <c r="J28" s="22" t="n">
        <f aca="false">('Comp - Centre'!K17+'Comp - Centre'!K18)*1000</f>
        <v>0</v>
      </c>
      <c r="K28" s="22" t="n">
        <f aca="false">('Comp - Centre'!L17+'Comp - Centre'!L18)*1000</f>
        <v>0</v>
      </c>
      <c r="L28" s="22" t="n">
        <f aca="false">('Comp - Centre'!M17+'Comp - Centre'!M18)*1000</f>
        <v>0</v>
      </c>
      <c r="M28" s="22" t="n">
        <f aca="false">('Comp - Centre'!N17+'Comp - Centre'!N18)*1000</f>
        <v>0</v>
      </c>
      <c r="N28" s="22" t="n">
        <f aca="false">('Comp - Centre'!O17+'Comp - Centre'!O18)*1000</f>
        <v>0</v>
      </c>
      <c r="O28" s="22" t="n">
        <f aca="false">('Comp - Centre'!P17+'Comp - Centre'!P18)*1000</f>
        <v>0</v>
      </c>
      <c r="P28" s="22" t="n">
        <f aca="false">('Comp - Centre'!Q17+'Comp - Centre'!Q18)*1000</f>
        <v>0</v>
      </c>
      <c r="Q28" s="22" t="n">
        <f aca="false">('Comp - Centre'!R17+'Comp - Centre'!R18)*1000</f>
        <v>0</v>
      </c>
    </row>
    <row r="29" customFormat="false" ht="15" hidden="false" customHeight="false" outlineLevel="0" collapsed="false">
      <c r="A29" s="21" t="s">
        <v>69</v>
      </c>
      <c r="B29" s="16" t="n">
        <f aca="false">SUM(C29:Q29)</f>
        <v>18200</v>
      </c>
      <c r="C29" s="22" t="n">
        <f aca="false">'Comp - Centre'!D21*1000</f>
        <v>0</v>
      </c>
      <c r="D29" s="22" t="n">
        <f aca="false">'Comp - Centre'!E21*1000</f>
        <v>2475.2</v>
      </c>
      <c r="E29" s="22" t="n">
        <f aca="false">'Comp - Centre'!F21*1000</f>
        <v>15724.8</v>
      </c>
      <c r="F29" s="22" t="n">
        <f aca="false">'Comp - Centre'!G21*1000</f>
        <v>0</v>
      </c>
      <c r="G29" s="22" t="n">
        <f aca="false">'Comp - Centre'!H21*1000</f>
        <v>0</v>
      </c>
      <c r="H29" s="22" t="n">
        <f aca="false">'Comp - Centre'!I21*1000</f>
        <v>0</v>
      </c>
      <c r="I29" s="22" t="n">
        <f aca="false">'Comp - Centre'!J21*1000</f>
        <v>0</v>
      </c>
      <c r="J29" s="22" t="n">
        <f aca="false">'Comp - Centre'!K21*1000</f>
        <v>0</v>
      </c>
      <c r="K29" s="22" t="n">
        <f aca="false">'Comp - Centre'!L21*1000</f>
        <v>0</v>
      </c>
      <c r="L29" s="22" t="n">
        <f aca="false">'Comp - Centre'!M21*1000</f>
        <v>0</v>
      </c>
      <c r="M29" s="22" t="n">
        <f aca="false">'Comp - Centre'!N21*1000</f>
        <v>0</v>
      </c>
      <c r="N29" s="22" t="n">
        <f aca="false">'Comp - Centre'!O21*1000</f>
        <v>0</v>
      </c>
      <c r="O29" s="22" t="n">
        <f aca="false">'Comp - Centre'!P21*1000</f>
        <v>0</v>
      </c>
      <c r="P29" s="22" t="n">
        <f aca="false">'Comp - Centre'!Q21*1000</f>
        <v>0</v>
      </c>
      <c r="Q29" s="22" t="n">
        <f aca="false">'Comp - Centre'!R21*1000</f>
        <v>0</v>
      </c>
    </row>
    <row r="30" customFormat="false" ht="15" hidden="false" customHeight="false" outlineLevel="0" collapsed="false">
      <c r="A30" s="23" t="s">
        <v>70</v>
      </c>
      <c r="B30" s="19" t="n">
        <f aca="false">SUM(C30:Q30)</f>
        <v>134577.813870086</v>
      </c>
      <c r="C30" s="20" t="n">
        <f aca="false">SUM(C21:C29)</f>
        <v>6864.97809739291</v>
      </c>
      <c r="D30" s="20" t="n">
        <f aca="false">SUM(D21:D29)</f>
        <v>56631.564849179</v>
      </c>
      <c r="E30" s="20" t="n">
        <f aca="false">SUM(E21:E29)</f>
        <v>71081.2709235146</v>
      </c>
      <c r="F30" s="20" t="n">
        <f aca="false">SUM(F21:F29)</f>
        <v>0</v>
      </c>
      <c r="G30" s="20" t="n">
        <f aca="false">SUM(G21:G29)</f>
        <v>0</v>
      </c>
      <c r="H30" s="20" t="n">
        <f aca="false">SUM(H21:H29)</f>
        <v>0</v>
      </c>
      <c r="I30" s="20" t="n">
        <f aca="false">SUM(I21:I29)</f>
        <v>0</v>
      </c>
      <c r="J30" s="20" t="n">
        <f aca="false">SUM(J21:J29)</f>
        <v>0</v>
      </c>
      <c r="K30" s="20" t="n">
        <f aca="false">SUM(K21:K29)</f>
        <v>0</v>
      </c>
      <c r="L30" s="20" t="n">
        <f aca="false">SUM(L21:L29)</f>
        <v>0</v>
      </c>
      <c r="M30" s="20" t="n">
        <f aca="false">SUM(M21:M29)</f>
        <v>0</v>
      </c>
      <c r="N30" s="20" t="n">
        <f aca="false">SUM(N21:N29)</f>
        <v>0</v>
      </c>
      <c r="O30" s="20" t="n">
        <f aca="false">SUM(O21:O29)</f>
        <v>0</v>
      </c>
      <c r="P30" s="20" t="n">
        <f aca="false">SUM(P21:P29)</f>
        <v>0</v>
      </c>
      <c r="Q30" s="20" t="n">
        <f aca="false">SUM(Q21:Q29)</f>
        <v>0</v>
      </c>
    </row>
    <row r="32" customFormat="false" ht="15" hidden="false" customHeight="false" outlineLevel="0" collapsed="false">
      <c r="A32" s="15" t="s">
        <v>71</v>
      </c>
      <c r="B32" s="16" t="n">
        <f aca="false">SUM(C32:Q32)</f>
        <v>357568.464999651</v>
      </c>
      <c r="C32" s="17" t="n">
        <f aca="false">C18-C30</f>
        <v>-6864.97809739291</v>
      </c>
      <c r="D32" s="17" t="n">
        <f aca="false">D18-D30</f>
        <v>-56631.564849179</v>
      </c>
      <c r="E32" s="17" t="n">
        <f aca="false">E18-E30</f>
        <v>-69495.699651528</v>
      </c>
      <c r="F32" s="17" t="n">
        <f aca="false">F18-F30</f>
        <v>23048.8171153561</v>
      </c>
      <c r="G32" s="17" t="n">
        <f aca="false">G18-G30</f>
        <v>25237.6495552299</v>
      </c>
      <c r="H32" s="17" t="n">
        <f aca="false">H18-H30</f>
        <v>26754.9363061006</v>
      </c>
      <c r="I32" s="17" t="n">
        <f aca="false">I18-I30</f>
        <v>30160.939725743</v>
      </c>
      <c r="J32" s="17" t="n">
        <f aca="false">J18-J30</f>
        <v>33786.9382308766</v>
      </c>
      <c r="K32" s="17" t="n">
        <f aca="false">K18-K30</f>
        <v>37999.2861986384</v>
      </c>
      <c r="L32" s="17" t="n">
        <f aca="false">L18-L30</f>
        <v>42645.7538655943</v>
      </c>
      <c r="M32" s="17" t="n">
        <f aca="false">M18-M30</f>
        <v>46476.7272242241</v>
      </c>
      <c r="N32" s="17" t="n">
        <f aca="false">N18-N30</f>
        <v>50231.2079168196</v>
      </c>
      <c r="O32" s="17" t="n">
        <f aca="false">O18-O30</f>
        <v>53937.9331267301</v>
      </c>
      <c r="P32" s="17" t="n">
        <f aca="false">P18-P30</f>
        <v>57976.7954668883</v>
      </c>
      <c r="Q32" s="17" t="n">
        <f aca="false">Q18-Q30</f>
        <v>62303.7228655504</v>
      </c>
    </row>
    <row r="33" customFormat="false" ht="15" hidden="false" customHeight="false" outlineLevel="0" collapsed="false">
      <c r="A33" s="21" t="s">
        <v>72</v>
      </c>
      <c r="B33" s="16" t="n">
        <f aca="false">SUM(C33:Q33)</f>
        <v>614007.712948255</v>
      </c>
      <c r="C33" s="22" t="n">
        <f aca="false">IF(2026=2040,'Comp - Centre'!S45/Inputs!$B$197*(1-(1+Inputs!$B$197)^-(Inputs!$B$55-2040))*1000,0)</f>
        <v>0</v>
      </c>
      <c r="D33" s="22" t="n">
        <f aca="false">IF(2027=2040,'Comp - Centre'!S45/Inputs!$B$197*(1-(1+Inputs!$B$197)^-(Inputs!$B$55-2040))*1000,0)</f>
        <v>0</v>
      </c>
      <c r="E33" s="22" t="n">
        <f aca="false">IF(2028=2040,'Comp - Centre'!S45/Inputs!$B$197*(1-(1+Inputs!$B$197)^-(Inputs!$B$55-2040))*1000,0)</f>
        <v>0</v>
      </c>
      <c r="F33" s="22" t="n">
        <f aca="false">IF(2029=2040,'Comp - Centre'!S45/Inputs!$B$197*(1-(1+Inputs!$B$197)^-(Inputs!$B$55-2040))*1000,0)</f>
        <v>0</v>
      </c>
      <c r="G33" s="22" t="n">
        <f aca="false">IF(2030=2040,'Comp - Centre'!S45/Inputs!$B$197*(1-(1+Inputs!$B$197)^-(Inputs!$B$55-2040))*1000,0)</f>
        <v>0</v>
      </c>
      <c r="H33" s="22" t="n">
        <f aca="false">IF(2031=2040,'Comp - Centre'!S45/Inputs!$B$197*(1-(1+Inputs!$B$197)^-(Inputs!$B$55-2040))*1000,0)</f>
        <v>0</v>
      </c>
      <c r="I33" s="22" t="n">
        <f aca="false">IF(2032=2040,'Comp - Centre'!S45/Inputs!$B$197*(1-(1+Inputs!$B$197)^-(Inputs!$B$55-2040))*1000,0)</f>
        <v>0</v>
      </c>
      <c r="J33" s="22" t="n">
        <f aca="false">IF(2033=2040,'Comp - Centre'!S45/Inputs!$B$197*(1-(1+Inputs!$B$197)^-(Inputs!$B$55-2040))*1000,0)</f>
        <v>0</v>
      </c>
      <c r="K33" s="22" t="n">
        <f aca="false">IF(2034=2040,'Comp - Centre'!S45/Inputs!$B$197*(1-(1+Inputs!$B$197)^-(Inputs!$B$55-2040))*1000,0)</f>
        <v>0</v>
      </c>
      <c r="L33" s="22" t="n">
        <f aca="false">IF(2035=2040,'Comp - Centre'!S45/Inputs!$B$197*(1-(1+Inputs!$B$197)^-(Inputs!$B$55-2040))*1000,0)</f>
        <v>0</v>
      </c>
      <c r="M33" s="22" t="n">
        <f aca="false">IF(2036=2040,'Comp - Centre'!S45/Inputs!$B$197*(1-(1+Inputs!$B$197)^-(Inputs!$B$55-2040))*1000,0)</f>
        <v>0</v>
      </c>
      <c r="N33" s="22" t="n">
        <f aca="false">IF(2037=2040,'Comp - Centre'!S45/Inputs!$B$197*(1-(1+Inputs!$B$197)^-(Inputs!$B$55-2040))*1000,0)</f>
        <v>0</v>
      </c>
      <c r="O33" s="22" t="n">
        <f aca="false">IF(2038=2040,'Comp - Centre'!S45/Inputs!$B$197*(1-(1+Inputs!$B$197)^-(Inputs!$B$55-2040))*1000,0)</f>
        <v>0</v>
      </c>
      <c r="P33" s="22" t="n">
        <f aca="false">IF(2039=2040,'Comp - Centre'!S45/Inputs!$B$197*(1-(1+Inputs!$B$197)^-(Inputs!$B$55-2040))*1000,0)</f>
        <v>0</v>
      </c>
      <c r="Q33" s="22" t="n">
        <f aca="false">IF(2040=2040,'Comp - Centre'!S45/Inputs!$B$197*(1-(1+Inputs!$B$197)^-(Inputs!$B$55-2040))*1000,0)</f>
        <v>614007.712948255</v>
      </c>
    </row>
    <row r="34" customFormat="false" ht="15" hidden="false" customHeight="false" outlineLevel="0" collapsed="false">
      <c r="A34" s="23" t="s">
        <v>73</v>
      </c>
      <c r="B34" s="19" t="n">
        <f aca="false">SUM(C34:Q34)</f>
        <v>971576.177947906</v>
      </c>
      <c r="C34" s="20" t="n">
        <f aca="false">C32+C33</f>
        <v>-6864.97809739291</v>
      </c>
      <c r="D34" s="20" t="n">
        <f aca="false">D32+D33</f>
        <v>-56631.564849179</v>
      </c>
      <c r="E34" s="20" t="n">
        <f aca="false">E32+E33</f>
        <v>-69495.699651528</v>
      </c>
      <c r="F34" s="20" t="n">
        <f aca="false">F32+F33</f>
        <v>23048.8171153561</v>
      </c>
      <c r="G34" s="20" t="n">
        <f aca="false">G32+G33</f>
        <v>25237.6495552299</v>
      </c>
      <c r="H34" s="20" t="n">
        <f aca="false">H32+H33</f>
        <v>26754.9363061006</v>
      </c>
      <c r="I34" s="20" t="n">
        <f aca="false">I32+I33</f>
        <v>30160.939725743</v>
      </c>
      <c r="J34" s="20" t="n">
        <f aca="false">J32+J33</f>
        <v>33786.9382308766</v>
      </c>
      <c r="K34" s="20" t="n">
        <f aca="false">K32+K33</f>
        <v>37999.2861986384</v>
      </c>
      <c r="L34" s="20" t="n">
        <f aca="false">L32+L33</f>
        <v>42645.7538655943</v>
      </c>
      <c r="M34" s="20" t="n">
        <f aca="false">M32+M33</f>
        <v>46476.7272242241</v>
      </c>
      <c r="N34" s="20" t="n">
        <f aca="false">N32+N33</f>
        <v>50231.2079168196</v>
      </c>
      <c r="O34" s="20" t="n">
        <f aca="false">O32+O33</f>
        <v>53937.9331267301</v>
      </c>
      <c r="P34" s="20" t="n">
        <f aca="false">P32+P33</f>
        <v>57976.7954668883</v>
      </c>
      <c r="Q34" s="20" t="n">
        <f aca="false">Q32+Q33</f>
        <v>676311.435813805</v>
      </c>
    </row>
    <row r="35" customFormat="false" ht="15" hidden="false" customHeight="false" outlineLevel="0" collapsed="false">
      <c r="A35" s="24" t="s">
        <v>74</v>
      </c>
      <c r="B35" s="25" t="n">
        <f aca="false">IFERROR(IRR(C34:Q34),0)</f>
        <v>0.262385323134446</v>
      </c>
    </row>
    <row r="37" customFormat="false" ht="15" hidden="false" customHeight="false" outlineLevel="0" collapsed="false">
      <c r="A37" s="26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52" min="4" style="0" width="9.51"/>
  </cols>
  <sheetData>
    <row r="1" customFormat="false" ht="17.35" hidden="false" customHeight="false" outlineLevel="0" collapsed="false">
      <c r="A1" s="27" t="s">
        <v>76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customFormat="false" ht="15" hidden="false" customHeight="false" outlineLevel="0" collapsed="false">
      <c r="A2" s="29" t="s">
        <v>77</v>
      </c>
    </row>
    <row r="4" customFormat="false" ht="15" hidden="false" customHeight="false" outlineLevel="0" collapsed="false">
      <c r="A4" s="3" t="s">
        <v>78</v>
      </c>
      <c r="B4" s="3" t="s">
        <v>79</v>
      </c>
      <c r="C4" s="30" t="s">
        <v>14</v>
      </c>
      <c r="D4" s="31" t="s">
        <v>31</v>
      </c>
      <c r="E4" s="31" t="s">
        <v>32</v>
      </c>
      <c r="F4" s="31" t="s">
        <v>33</v>
      </c>
      <c r="G4" s="31" t="s">
        <v>34</v>
      </c>
      <c r="H4" s="31" t="s">
        <v>35</v>
      </c>
      <c r="I4" s="31" t="s">
        <v>36</v>
      </c>
      <c r="J4" s="31" t="s">
        <v>37</v>
      </c>
      <c r="K4" s="31" t="s">
        <v>38</v>
      </c>
      <c r="L4" s="31" t="s">
        <v>39</v>
      </c>
      <c r="M4" s="31" t="s">
        <v>40</v>
      </c>
      <c r="N4" s="31" t="s">
        <v>41</v>
      </c>
      <c r="O4" s="31" t="s">
        <v>42</v>
      </c>
      <c r="P4" s="31" t="s">
        <v>43</v>
      </c>
      <c r="Q4" s="31" t="s">
        <v>44</v>
      </c>
      <c r="R4" s="31" t="s">
        <v>45</v>
      </c>
      <c r="S4" s="31" t="s">
        <v>80</v>
      </c>
      <c r="T4" s="31" t="s">
        <v>81</v>
      </c>
      <c r="U4" s="31" t="s">
        <v>82</v>
      </c>
      <c r="V4" s="31" t="s">
        <v>83</v>
      </c>
      <c r="W4" s="31" t="s">
        <v>84</v>
      </c>
      <c r="X4" s="31" t="s">
        <v>85</v>
      </c>
      <c r="Y4" s="31" t="s">
        <v>86</v>
      </c>
      <c r="Z4" s="31" t="s">
        <v>87</v>
      </c>
      <c r="AA4" s="31" t="s">
        <v>88</v>
      </c>
      <c r="AB4" s="31" t="s">
        <v>89</v>
      </c>
      <c r="AC4" s="31" t="s">
        <v>90</v>
      </c>
      <c r="AD4" s="31" t="s">
        <v>91</v>
      </c>
      <c r="AE4" s="31" t="s">
        <v>92</v>
      </c>
      <c r="AF4" s="31" t="s">
        <v>93</v>
      </c>
      <c r="AG4" s="31" t="s">
        <v>94</v>
      </c>
      <c r="AH4" s="31" t="s">
        <v>95</v>
      </c>
      <c r="AI4" s="31" t="s">
        <v>96</v>
      </c>
      <c r="AJ4" s="31" t="s">
        <v>97</v>
      </c>
      <c r="AK4" s="31" t="s">
        <v>98</v>
      </c>
      <c r="AL4" s="31" t="s">
        <v>99</v>
      </c>
      <c r="AM4" s="31" t="s">
        <v>100</v>
      </c>
      <c r="AN4" s="31" t="s">
        <v>101</v>
      </c>
      <c r="AO4" s="31" t="s">
        <v>102</v>
      </c>
      <c r="AP4" s="31" t="s">
        <v>103</v>
      </c>
      <c r="AQ4" s="31" t="s">
        <v>104</v>
      </c>
      <c r="AR4" s="31" t="s">
        <v>105</v>
      </c>
      <c r="AS4" s="31" t="s">
        <v>106</v>
      </c>
      <c r="AT4" s="31" t="s">
        <v>107</v>
      </c>
      <c r="AU4" s="31" t="s">
        <v>108</v>
      </c>
      <c r="AV4" s="31" t="s">
        <v>109</v>
      </c>
      <c r="AW4" s="31" t="s">
        <v>110</v>
      </c>
      <c r="AX4" s="31" t="s">
        <v>111</v>
      </c>
      <c r="AY4" s="31" t="s">
        <v>112</v>
      </c>
      <c r="AZ4" s="31" t="s">
        <v>113</v>
      </c>
    </row>
    <row r="5" customFormat="false" ht="15" hidden="false" customHeight="false" outlineLevel="0" collapsed="false">
      <c r="A5" s="32" t="s">
        <v>114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</row>
    <row r="6" customFormat="false" ht="15" hidden="false" customHeight="false" outlineLevel="0" collapsed="false">
      <c r="A6" s="34" t="s">
        <v>115</v>
      </c>
      <c r="C6" s="35" t="n">
        <f aca="false">SUM(D6:AZ6)</f>
        <v>12.5653474281101</v>
      </c>
      <c r="D6" s="36" t="n">
        <f aca="false">(Inputs!$B$26*(Inputs!$B$195/(Inputs!$B$194+Inputs!$B$195+Inputs!$B$196))-(Inputs!$B$42*Inputs!$B$43)*Inputs!$B$26/(SUM(Inputs!$B$26:$D$26)+SUM(Inputs!$B$27:$D$27)))*Inputs!$B$5</f>
        <v>2.89969556033309</v>
      </c>
      <c r="E6" s="36" t="n">
        <f aca="false">(Inputs!$C$26*(Inputs!$B$195/(Inputs!$B$194+Inputs!$B$195+Inputs!$B$196))-(Inputs!$B$42*Inputs!$B$43)*Inputs!$C$26/(SUM(Inputs!$B$26:$D$26)+SUM(Inputs!$B$27:$D$27)))*Inputs!$B$5</f>
        <v>9.66565186777698</v>
      </c>
      <c r="F6" s="36" t="n">
        <f aca="false">(Inputs!$D$26*(Inputs!$B$195/(Inputs!$B$194+Inputs!$B$195+Inputs!$B$196))-(Inputs!$B$42*Inputs!$B$43)*Inputs!$D$26/(SUM(Inputs!$B$26:$D$26)+SUM(Inputs!$B$27:$D$27)))*Inputs!$B$5</f>
        <v>0</v>
      </c>
      <c r="G6" s="36" t="n">
        <v>0</v>
      </c>
      <c r="H6" s="36" t="n">
        <v>0</v>
      </c>
      <c r="I6" s="36" t="n">
        <v>0</v>
      </c>
      <c r="J6" s="36" t="n">
        <v>0</v>
      </c>
      <c r="K6" s="36" t="n">
        <v>0</v>
      </c>
      <c r="L6" s="36" t="n">
        <v>0</v>
      </c>
      <c r="M6" s="36" t="n">
        <v>0</v>
      </c>
      <c r="N6" s="36" t="n">
        <v>0</v>
      </c>
      <c r="O6" s="36" t="n">
        <v>0</v>
      </c>
      <c r="P6" s="36" t="n">
        <v>0</v>
      </c>
      <c r="Q6" s="36" t="n">
        <v>0</v>
      </c>
      <c r="R6" s="36" t="n">
        <v>0</v>
      </c>
      <c r="S6" s="36" t="n">
        <v>0</v>
      </c>
      <c r="T6" s="36" t="n">
        <v>0</v>
      </c>
      <c r="U6" s="36" t="n">
        <v>0</v>
      </c>
      <c r="V6" s="36" t="n">
        <v>0</v>
      </c>
      <c r="W6" s="36" t="n">
        <v>0</v>
      </c>
      <c r="X6" s="36" t="n">
        <v>0</v>
      </c>
      <c r="Y6" s="36" t="n">
        <v>0</v>
      </c>
      <c r="Z6" s="36" t="n">
        <v>0</v>
      </c>
      <c r="AA6" s="36" t="n">
        <v>0</v>
      </c>
      <c r="AB6" s="36" t="n">
        <v>0</v>
      </c>
      <c r="AC6" s="36" t="n">
        <v>0</v>
      </c>
      <c r="AD6" s="36" t="n">
        <v>0</v>
      </c>
      <c r="AE6" s="36" t="n">
        <v>0</v>
      </c>
      <c r="AF6" s="36" t="n">
        <v>0</v>
      </c>
      <c r="AG6" s="36" t="n">
        <v>0</v>
      </c>
      <c r="AH6" s="36" t="n">
        <v>0</v>
      </c>
      <c r="AI6" s="36" t="n">
        <v>0</v>
      </c>
      <c r="AJ6" s="36" t="n">
        <v>0</v>
      </c>
      <c r="AK6" s="36" t="n">
        <v>0</v>
      </c>
      <c r="AL6" s="36" t="n">
        <v>0</v>
      </c>
      <c r="AM6" s="36" t="n">
        <v>0</v>
      </c>
      <c r="AN6" s="36" t="n">
        <v>0</v>
      </c>
      <c r="AO6" s="36" t="n">
        <v>0</v>
      </c>
      <c r="AP6" s="36" t="n">
        <v>0</v>
      </c>
      <c r="AQ6" s="36" t="n">
        <v>0</v>
      </c>
      <c r="AR6" s="36" t="n">
        <v>0</v>
      </c>
      <c r="AS6" s="36" t="n">
        <v>0</v>
      </c>
      <c r="AT6" s="36" t="n">
        <v>0</v>
      </c>
      <c r="AU6" s="36" t="n">
        <v>0</v>
      </c>
      <c r="AV6" s="36" t="n">
        <v>0</v>
      </c>
      <c r="AW6" s="36" t="n">
        <v>0</v>
      </c>
      <c r="AX6" s="36" t="n">
        <v>0</v>
      </c>
      <c r="AY6" s="36" t="n">
        <v>0</v>
      </c>
      <c r="AZ6" s="36" t="n">
        <v>0</v>
      </c>
    </row>
    <row r="7" customFormat="false" ht="15" hidden="false" customHeight="false" outlineLevel="0" collapsed="false">
      <c r="A7" s="34" t="s">
        <v>116</v>
      </c>
      <c r="C7" s="35" t="n">
        <f aca="false">SUM(D7:AZ7)</f>
        <v>11.5987822413324</v>
      </c>
      <c r="D7" s="36" t="n">
        <f aca="false">(Inputs!$B$27*(Inputs!$B$195/(Inputs!$B$194+Inputs!$B$195+Inputs!$B$196))-(Inputs!$B$42*Inputs!$B$43)*Inputs!$B$27/(SUM(Inputs!$B$26:$D$26)+SUM(Inputs!$B$27:$D$27)))*Inputs!$B$5</f>
        <v>0</v>
      </c>
      <c r="E7" s="36" t="n">
        <f aca="false">(Inputs!$C$27*(Inputs!$B$195/(Inputs!$B$194+Inputs!$B$195+Inputs!$B$196))-(Inputs!$B$42*Inputs!$B$43)*Inputs!$C$27/(SUM(Inputs!$B$26:$D$26)+SUM(Inputs!$B$27:$D$27)))*Inputs!$B$5</f>
        <v>6.38899588460058</v>
      </c>
      <c r="F7" s="36" t="n">
        <f aca="false">(Inputs!$D$27*(Inputs!$B$195/(Inputs!$B$194+Inputs!$B$195+Inputs!$B$196))-(Inputs!$B$42*Inputs!$B$43)*Inputs!$D$27/(SUM(Inputs!$B$26:$D$26)+SUM(Inputs!$B$27:$D$27)))*Inputs!$B$5</f>
        <v>5.20978635673179</v>
      </c>
      <c r="G7" s="36" t="n">
        <v>0</v>
      </c>
      <c r="H7" s="36" t="n">
        <v>0</v>
      </c>
      <c r="I7" s="36" t="n">
        <v>0</v>
      </c>
      <c r="J7" s="36" t="n">
        <v>0</v>
      </c>
      <c r="K7" s="36" t="n">
        <v>0</v>
      </c>
      <c r="L7" s="36" t="n">
        <v>0</v>
      </c>
      <c r="M7" s="36" t="n">
        <v>0</v>
      </c>
      <c r="N7" s="36" t="n">
        <v>0</v>
      </c>
      <c r="O7" s="36" t="n">
        <v>0</v>
      </c>
      <c r="P7" s="36" t="n">
        <v>0</v>
      </c>
      <c r="Q7" s="36" t="n">
        <v>0</v>
      </c>
      <c r="R7" s="36" t="n">
        <v>0</v>
      </c>
      <c r="S7" s="36" t="n">
        <v>0</v>
      </c>
      <c r="T7" s="36" t="n">
        <v>0</v>
      </c>
      <c r="U7" s="36" t="n">
        <v>0</v>
      </c>
      <c r="V7" s="36" t="n">
        <v>0</v>
      </c>
      <c r="W7" s="36" t="n">
        <v>0</v>
      </c>
      <c r="X7" s="36" t="n">
        <v>0</v>
      </c>
      <c r="Y7" s="36" t="n">
        <v>0</v>
      </c>
      <c r="Z7" s="36" t="n">
        <v>0</v>
      </c>
      <c r="AA7" s="36" t="n">
        <v>0</v>
      </c>
      <c r="AB7" s="36" t="n">
        <v>0</v>
      </c>
      <c r="AC7" s="36" t="n">
        <v>0</v>
      </c>
      <c r="AD7" s="36" t="n">
        <v>0</v>
      </c>
      <c r="AE7" s="36" t="n">
        <v>0</v>
      </c>
      <c r="AF7" s="36" t="n">
        <v>0</v>
      </c>
      <c r="AG7" s="36" t="n">
        <v>0</v>
      </c>
      <c r="AH7" s="36" t="n">
        <v>0</v>
      </c>
      <c r="AI7" s="36" t="n">
        <v>0</v>
      </c>
      <c r="AJ7" s="36" t="n">
        <v>0</v>
      </c>
      <c r="AK7" s="36" t="n">
        <v>0</v>
      </c>
      <c r="AL7" s="36" t="n">
        <v>0</v>
      </c>
      <c r="AM7" s="36" t="n">
        <v>0</v>
      </c>
      <c r="AN7" s="36" t="n">
        <v>0</v>
      </c>
      <c r="AO7" s="36" t="n">
        <v>0</v>
      </c>
      <c r="AP7" s="36" t="n">
        <v>0</v>
      </c>
      <c r="AQ7" s="36" t="n">
        <v>0</v>
      </c>
      <c r="AR7" s="36" t="n">
        <v>0</v>
      </c>
      <c r="AS7" s="36" t="n">
        <v>0</v>
      </c>
      <c r="AT7" s="36" t="n">
        <v>0</v>
      </c>
      <c r="AU7" s="36" t="n">
        <v>0</v>
      </c>
      <c r="AV7" s="36" t="n">
        <v>0</v>
      </c>
      <c r="AW7" s="36" t="n">
        <v>0</v>
      </c>
      <c r="AX7" s="36" t="n">
        <v>0</v>
      </c>
      <c r="AY7" s="36" t="n">
        <v>0</v>
      </c>
      <c r="AZ7" s="36" t="n">
        <v>0</v>
      </c>
    </row>
    <row r="8" customFormat="false" ht="15" hidden="false" customHeight="false" outlineLevel="0" collapsed="false">
      <c r="A8" s="34" t="s">
        <v>117</v>
      </c>
      <c r="C8" s="35" t="n">
        <f aca="false">SUM(D8:AZ8)</f>
        <v>11.8619563074439</v>
      </c>
      <c r="D8" s="36" t="n">
        <f aca="false">Inputs!$B$28*(Inputs!$B$195/(Inputs!$B$194+Inputs!$B$195+Inputs!$B$196))*Inputs!$B$5</f>
        <v>0</v>
      </c>
      <c r="E8" s="36" t="n">
        <f aca="false">Inputs!$C$28*(Inputs!$B$195/(Inputs!$B$194+Inputs!$B$195+Inputs!$B$196))*Inputs!$B$5</f>
        <v>7.48997812555742</v>
      </c>
      <c r="F8" s="36" t="n">
        <f aca="false">Inputs!$D$28*(Inputs!$B$195/(Inputs!$B$194+Inputs!$B$195+Inputs!$B$196))*Inputs!$B$5</f>
        <v>4.37197818188646</v>
      </c>
      <c r="G8" s="36" t="n">
        <v>0</v>
      </c>
      <c r="H8" s="36" t="n">
        <v>0</v>
      </c>
      <c r="I8" s="36" t="n">
        <v>0</v>
      </c>
      <c r="J8" s="36" t="n">
        <v>0</v>
      </c>
      <c r="K8" s="36" t="n">
        <v>0</v>
      </c>
      <c r="L8" s="36" t="n">
        <v>0</v>
      </c>
      <c r="M8" s="36" t="n">
        <v>0</v>
      </c>
      <c r="N8" s="36" t="n">
        <v>0</v>
      </c>
      <c r="O8" s="36" t="n">
        <v>0</v>
      </c>
      <c r="P8" s="36" t="n">
        <v>0</v>
      </c>
      <c r="Q8" s="36" t="n">
        <v>0</v>
      </c>
      <c r="R8" s="36" t="n">
        <v>0</v>
      </c>
      <c r="S8" s="36" t="n">
        <v>0</v>
      </c>
      <c r="T8" s="36" t="n">
        <v>0</v>
      </c>
      <c r="U8" s="36" t="n">
        <v>0</v>
      </c>
      <c r="V8" s="36" t="n">
        <v>0</v>
      </c>
      <c r="W8" s="36" t="n">
        <v>0</v>
      </c>
      <c r="X8" s="36" t="n">
        <v>0</v>
      </c>
      <c r="Y8" s="36" t="n">
        <v>0</v>
      </c>
      <c r="Z8" s="36" t="n">
        <v>0</v>
      </c>
      <c r="AA8" s="36" t="n">
        <v>0</v>
      </c>
      <c r="AB8" s="36" t="n">
        <v>0</v>
      </c>
      <c r="AC8" s="36" t="n">
        <v>0</v>
      </c>
      <c r="AD8" s="36" t="n">
        <v>0</v>
      </c>
      <c r="AE8" s="36" t="n">
        <v>0</v>
      </c>
      <c r="AF8" s="36" t="n">
        <v>0</v>
      </c>
      <c r="AG8" s="36" t="n">
        <v>0</v>
      </c>
      <c r="AH8" s="36" t="n">
        <v>0</v>
      </c>
      <c r="AI8" s="36" t="n">
        <v>0</v>
      </c>
      <c r="AJ8" s="36" t="n">
        <v>0</v>
      </c>
      <c r="AK8" s="36" t="n">
        <v>0</v>
      </c>
      <c r="AL8" s="36" t="n">
        <v>0</v>
      </c>
      <c r="AM8" s="36" t="n">
        <v>0</v>
      </c>
      <c r="AN8" s="36" t="n">
        <v>0</v>
      </c>
      <c r="AO8" s="36" t="n">
        <v>0</v>
      </c>
      <c r="AP8" s="36" t="n">
        <v>0</v>
      </c>
      <c r="AQ8" s="36" t="n">
        <v>0</v>
      </c>
      <c r="AR8" s="36" t="n">
        <v>0</v>
      </c>
      <c r="AS8" s="36" t="n">
        <v>0</v>
      </c>
      <c r="AT8" s="36" t="n">
        <v>0</v>
      </c>
      <c r="AU8" s="36" t="n">
        <v>0</v>
      </c>
      <c r="AV8" s="36" t="n">
        <v>0</v>
      </c>
      <c r="AW8" s="36" t="n">
        <v>0</v>
      </c>
      <c r="AX8" s="36" t="n">
        <v>0</v>
      </c>
      <c r="AY8" s="36" t="n">
        <v>0</v>
      </c>
      <c r="AZ8" s="36" t="n">
        <v>0</v>
      </c>
    </row>
    <row r="9" customFormat="false" ht="15" hidden="false" customHeight="false" outlineLevel="0" collapsed="false">
      <c r="A9" s="34" t="s">
        <v>118</v>
      </c>
      <c r="C9" s="35" t="n">
        <f aca="false">SUM(D9:AZ9)</f>
        <v>11.0316193659228</v>
      </c>
      <c r="D9" s="36" t="n">
        <f aca="false">Inputs!$B$29*(Inputs!$B$195/(Inputs!$B$194+Inputs!$B$195+Inputs!$B$196))*Inputs!$B$5</f>
        <v>0.457532600429978</v>
      </c>
      <c r="E9" s="36" t="n">
        <f aca="false">Inputs!$C$29*(Inputs!$B$195/(Inputs!$B$194+Inputs!$B$195+Inputs!$B$196))*Inputs!$B$5</f>
        <v>5.35482599021753</v>
      </c>
      <c r="F9" s="36" t="n">
        <f aca="false">Inputs!$D$29*(Inputs!$B$195/(Inputs!$B$194+Inputs!$B$195+Inputs!$B$196))*Inputs!$B$5</f>
        <v>5.21926077527531</v>
      </c>
      <c r="G9" s="36" t="n">
        <v>0</v>
      </c>
      <c r="H9" s="36" t="n">
        <v>0</v>
      </c>
      <c r="I9" s="36" t="n">
        <v>0</v>
      </c>
      <c r="J9" s="36" t="n">
        <v>0</v>
      </c>
      <c r="K9" s="36" t="n">
        <v>0</v>
      </c>
      <c r="L9" s="36" t="n">
        <v>0</v>
      </c>
      <c r="M9" s="36" t="n">
        <v>0</v>
      </c>
      <c r="N9" s="36" t="n">
        <v>0</v>
      </c>
      <c r="O9" s="36" t="n">
        <v>0</v>
      </c>
      <c r="P9" s="36" t="n">
        <v>0</v>
      </c>
      <c r="Q9" s="36" t="n">
        <v>0</v>
      </c>
      <c r="R9" s="36" t="n">
        <v>0</v>
      </c>
      <c r="S9" s="36" t="n">
        <v>0</v>
      </c>
      <c r="T9" s="36" t="n">
        <v>0</v>
      </c>
      <c r="U9" s="36" t="n">
        <v>0</v>
      </c>
      <c r="V9" s="36" t="n">
        <v>0</v>
      </c>
      <c r="W9" s="36" t="n">
        <v>0</v>
      </c>
      <c r="X9" s="36" t="n">
        <v>0</v>
      </c>
      <c r="Y9" s="36" t="n">
        <v>0</v>
      </c>
      <c r="Z9" s="36" t="n">
        <v>0</v>
      </c>
      <c r="AA9" s="36" t="n">
        <v>0</v>
      </c>
      <c r="AB9" s="36" t="n">
        <v>0</v>
      </c>
      <c r="AC9" s="36" t="n">
        <v>0</v>
      </c>
      <c r="AD9" s="36" t="n">
        <v>0</v>
      </c>
      <c r="AE9" s="36" t="n">
        <v>0</v>
      </c>
      <c r="AF9" s="36" t="n">
        <v>0</v>
      </c>
      <c r="AG9" s="36" t="n">
        <v>0</v>
      </c>
      <c r="AH9" s="36" t="n">
        <v>0</v>
      </c>
      <c r="AI9" s="36" t="n">
        <v>0</v>
      </c>
      <c r="AJ9" s="36" t="n">
        <v>0</v>
      </c>
      <c r="AK9" s="36" t="n">
        <v>0</v>
      </c>
      <c r="AL9" s="36" t="n">
        <v>0</v>
      </c>
      <c r="AM9" s="36" t="n">
        <v>0</v>
      </c>
      <c r="AN9" s="36" t="n">
        <v>0</v>
      </c>
      <c r="AO9" s="36" t="n">
        <v>0</v>
      </c>
      <c r="AP9" s="36" t="n">
        <v>0</v>
      </c>
      <c r="AQ9" s="36" t="n">
        <v>0</v>
      </c>
      <c r="AR9" s="36" t="n">
        <v>0</v>
      </c>
      <c r="AS9" s="36" t="n">
        <v>0</v>
      </c>
      <c r="AT9" s="36" t="n">
        <v>0</v>
      </c>
      <c r="AU9" s="36" t="n">
        <v>0</v>
      </c>
      <c r="AV9" s="36" t="n">
        <v>0</v>
      </c>
      <c r="AW9" s="36" t="n">
        <v>0</v>
      </c>
      <c r="AX9" s="36" t="n">
        <v>0</v>
      </c>
      <c r="AY9" s="36" t="n">
        <v>0</v>
      </c>
      <c r="AZ9" s="36" t="n">
        <v>0</v>
      </c>
    </row>
    <row r="10" customFormat="false" ht="15" hidden="false" customHeight="false" outlineLevel="0" collapsed="false">
      <c r="A10" s="34" t="s">
        <v>119</v>
      </c>
      <c r="C10" s="35" t="n">
        <f aca="false">SUM(D10:AZ10)</f>
        <v>0</v>
      </c>
      <c r="D10" s="36" t="n">
        <v>0</v>
      </c>
      <c r="E10" s="36" t="n">
        <v>0</v>
      </c>
      <c r="F10" s="36" t="n">
        <v>0</v>
      </c>
      <c r="G10" s="36" t="n">
        <v>0</v>
      </c>
      <c r="H10" s="36" t="n">
        <v>0</v>
      </c>
      <c r="I10" s="36" t="n">
        <v>0</v>
      </c>
      <c r="J10" s="36" t="n">
        <v>0</v>
      </c>
      <c r="K10" s="36" t="n">
        <v>0</v>
      </c>
      <c r="L10" s="36" t="n">
        <v>0</v>
      </c>
      <c r="M10" s="36" t="n">
        <v>0</v>
      </c>
      <c r="N10" s="36" t="n">
        <v>0</v>
      </c>
      <c r="O10" s="36" t="n">
        <v>0</v>
      </c>
      <c r="P10" s="36" t="n">
        <v>0</v>
      </c>
      <c r="Q10" s="36" t="n">
        <v>0</v>
      </c>
      <c r="R10" s="36" t="n">
        <v>0</v>
      </c>
      <c r="S10" s="36" t="n">
        <v>0</v>
      </c>
      <c r="T10" s="36" t="n">
        <v>0</v>
      </c>
      <c r="U10" s="36" t="n">
        <v>0</v>
      </c>
      <c r="V10" s="36" t="n">
        <v>0</v>
      </c>
      <c r="W10" s="36" t="n">
        <v>0</v>
      </c>
      <c r="X10" s="36" t="n">
        <v>0</v>
      </c>
      <c r="Y10" s="36" t="n">
        <v>0</v>
      </c>
      <c r="Z10" s="36" t="n">
        <v>0</v>
      </c>
      <c r="AA10" s="36" t="n">
        <v>0</v>
      </c>
      <c r="AB10" s="36" t="n">
        <v>0</v>
      </c>
      <c r="AC10" s="36" t="n">
        <v>0</v>
      </c>
      <c r="AD10" s="36" t="n">
        <v>0</v>
      </c>
      <c r="AE10" s="36" t="n">
        <v>0</v>
      </c>
      <c r="AF10" s="36" t="n">
        <v>0</v>
      </c>
      <c r="AG10" s="36" t="n">
        <v>0</v>
      </c>
      <c r="AH10" s="36" t="n">
        <v>0</v>
      </c>
      <c r="AI10" s="36" t="n">
        <v>0</v>
      </c>
      <c r="AJ10" s="36" t="n">
        <v>0</v>
      </c>
      <c r="AK10" s="36" t="n">
        <v>0</v>
      </c>
      <c r="AL10" s="36" t="n">
        <v>0</v>
      </c>
      <c r="AM10" s="36" t="n">
        <v>0</v>
      </c>
      <c r="AN10" s="36" t="n">
        <v>0</v>
      </c>
      <c r="AO10" s="36" t="n">
        <v>0</v>
      </c>
      <c r="AP10" s="36" t="n">
        <v>0</v>
      </c>
      <c r="AQ10" s="36" t="n">
        <v>0</v>
      </c>
      <c r="AR10" s="36" t="n">
        <v>0</v>
      </c>
      <c r="AS10" s="36" t="n">
        <v>0</v>
      </c>
      <c r="AT10" s="36" t="n">
        <v>0</v>
      </c>
      <c r="AU10" s="36" t="n">
        <v>0</v>
      </c>
      <c r="AV10" s="36" t="n">
        <v>0</v>
      </c>
      <c r="AW10" s="36" t="n">
        <v>0</v>
      </c>
      <c r="AX10" s="36" t="n">
        <v>0</v>
      </c>
      <c r="AY10" s="36" t="n">
        <v>0</v>
      </c>
      <c r="AZ10" s="36" t="n">
        <v>0</v>
      </c>
    </row>
    <row r="11" customFormat="false" ht="15" hidden="false" customHeight="false" outlineLevel="0" collapsed="false">
      <c r="A11" s="34" t="s">
        <v>120</v>
      </c>
      <c r="C11" s="35" t="n">
        <f aca="false">SUM(D11:AZ11)</f>
        <v>60</v>
      </c>
      <c r="D11" s="36" t="n">
        <f aca="false">Inputs!$B$31*Inputs!$B$5</f>
        <v>0</v>
      </c>
      <c r="E11" s="36" t="n">
        <f aca="false">Inputs!$C$31*Inputs!$B$5</f>
        <v>21.8</v>
      </c>
      <c r="F11" s="36" t="n">
        <f aca="false">Inputs!$D$31*Inputs!$B$5</f>
        <v>38.2</v>
      </c>
      <c r="G11" s="36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6" t="n">
        <v>0</v>
      </c>
      <c r="S11" s="36" t="n">
        <v>0</v>
      </c>
      <c r="T11" s="36" t="n">
        <v>0</v>
      </c>
      <c r="U11" s="36" t="n">
        <v>0</v>
      </c>
      <c r="V11" s="36" t="n">
        <v>0</v>
      </c>
      <c r="W11" s="36" t="n">
        <v>0</v>
      </c>
      <c r="X11" s="36" t="n">
        <v>0</v>
      </c>
      <c r="Y11" s="36" t="n">
        <v>0</v>
      </c>
      <c r="Z11" s="36" t="n">
        <v>0</v>
      </c>
      <c r="AA11" s="36" t="n">
        <v>0</v>
      </c>
      <c r="AB11" s="36" t="n">
        <v>0</v>
      </c>
      <c r="AC11" s="36" t="n">
        <v>0</v>
      </c>
      <c r="AD11" s="36" t="n">
        <v>0</v>
      </c>
      <c r="AE11" s="36" t="n">
        <v>0</v>
      </c>
      <c r="AF11" s="36" t="n">
        <v>0</v>
      </c>
      <c r="AG11" s="36" t="n">
        <v>0</v>
      </c>
      <c r="AH11" s="36" t="n">
        <v>0</v>
      </c>
      <c r="AI11" s="36" t="n">
        <v>0</v>
      </c>
      <c r="AJ11" s="36" t="n">
        <v>0</v>
      </c>
      <c r="AK11" s="36" t="n">
        <v>0</v>
      </c>
      <c r="AL11" s="36" t="n">
        <v>0</v>
      </c>
      <c r="AM11" s="36" t="n">
        <v>0</v>
      </c>
      <c r="AN11" s="36" t="n">
        <v>0</v>
      </c>
      <c r="AO11" s="36" t="n">
        <v>0</v>
      </c>
      <c r="AP11" s="36" t="n">
        <v>0</v>
      </c>
      <c r="AQ11" s="36" t="n">
        <v>0</v>
      </c>
      <c r="AR11" s="36" t="n">
        <v>0</v>
      </c>
      <c r="AS11" s="36" t="n">
        <v>0</v>
      </c>
      <c r="AT11" s="36" t="n">
        <v>0</v>
      </c>
      <c r="AU11" s="36" t="n">
        <v>0</v>
      </c>
      <c r="AV11" s="36" t="n">
        <v>0</v>
      </c>
      <c r="AW11" s="36" t="n">
        <v>0</v>
      </c>
      <c r="AX11" s="36" t="n">
        <v>0</v>
      </c>
      <c r="AY11" s="36" t="n">
        <v>0</v>
      </c>
      <c r="AZ11" s="36" t="n">
        <v>0</v>
      </c>
    </row>
    <row r="12" customFormat="false" ht="15" hidden="false" customHeight="false" outlineLevel="0" collapsed="false">
      <c r="A12" s="34" t="s">
        <v>121</v>
      </c>
      <c r="C12" s="35" t="n">
        <f aca="false">SUM(D12:AZ12)</f>
        <v>1.86402170545547</v>
      </c>
      <c r="D12" s="36" t="n">
        <f aca="false">Inputs!$B$32*(Inputs!$B$195/(Inputs!$B$194+Inputs!$B$195+Inputs!$B$196))*Inputs!$B$5</f>
        <v>0.220293474281101</v>
      </c>
      <c r="E12" s="36" t="n">
        <f aca="false">Inputs!$C$32*(Inputs!$B$195/(Inputs!$B$194+Inputs!$B$195+Inputs!$B$196))*Inputs!$B$5</f>
        <v>1.2539782382155</v>
      </c>
      <c r="F12" s="36" t="n">
        <f aca="false">Inputs!$D$32*(Inputs!$B$195/(Inputs!$B$194+Inputs!$B$195+Inputs!$B$196))*Inputs!$B$5</f>
        <v>0.38974999295887</v>
      </c>
      <c r="G12" s="36" t="n">
        <v>0</v>
      </c>
      <c r="H12" s="36" t="n">
        <v>0</v>
      </c>
      <c r="I12" s="36" t="n">
        <v>0</v>
      </c>
      <c r="J12" s="36" t="n">
        <v>0</v>
      </c>
      <c r="K12" s="36" t="n">
        <v>0</v>
      </c>
      <c r="L12" s="36" t="n">
        <v>0</v>
      </c>
      <c r="M12" s="36" t="n">
        <v>0</v>
      </c>
      <c r="N12" s="36" t="n">
        <v>0</v>
      </c>
      <c r="O12" s="36" t="n">
        <v>0</v>
      </c>
      <c r="P12" s="36" t="n">
        <v>0</v>
      </c>
      <c r="Q12" s="36" t="n">
        <v>0</v>
      </c>
      <c r="R12" s="36" t="n">
        <v>0</v>
      </c>
      <c r="S12" s="36" t="n">
        <v>0</v>
      </c>
      <c r="T12" s="36" t="n">
        <v>0</v>
      </c>
      <c r="U12" s="36" t="n">
        <v>0</v>
      </c>
      <c r="V12" s="36" t="n">
        <v>0</v>
      </c>
      <c r="W12" s="36" t="n">
        <v>0</v>
      </c>
      <c r="X12" s="36" t="n">
        <v>0</v>
      </c>
      <c r="Y12" s="36" t="n">
        <v>0</v>
      </c>
      <c r="Z12" s="36" t="n">
        <v>0</v>
      </c>
      <c r="AA12" s="36" t="n">
        <v>0</v>
      </c>
      <c r="AB12" s="36" t="n">
        <v>0</v>
      </c>
      <c r="AC12" s="36" t="n">
        <v>0</v>
      </c>
      <c r="AD12" s="36" t="n">
        <v>0</v>
      </c>
      <c r="AE12" s="36" t="n">
        <v>0</v>
      </c>
      <c r="AF12" s="36" t="n">
        <v>0</v>
      </c>
      <c r="AG12" s="36" t="n">
        <v>0</v>
      </c>
      <c r="AH12" s="36" t="n">
        <v>0</v>
      </c>
      <c r="AI12" s="36" t="n">
        <v>0</v>
      </c>
      <c r="AJ12" s="36" t="n">
        <v>0</v>
      </c>
      <c r="AK12" s="36" t="n">
        <v>0</v>
      </c>
      <c r="AL12" s="36" t="n">
        <v>0</v>
      </c>
      <c r="AM12" s="36" t="n">
        <v>0</v>
      </c>
      <c r="AN12" s="36" t="n">
        <v>0</v>
      </c>
      <c r="AO12" s="36" t="n">
        <v>0</v>
      </c>
      <c r="AP12" s="36" t="n">
        <v>0</v>
      </c>
      <c r="AQ12" s="36" t="n">
        <v>0</v>
      </c>
      <c r="AR12" s="36" t="n">
        <v>0</v>
      </c>
      <c r="AS12" s="36" t="n">
        <v>0</v>
      </c>
      <c r="AT12" s="36" t="n">
        <v>0</v>
      </c>
      <c r="AU12" s="36" t="n">
        <v>0</v>
      </c>
      <c r="AV12" s="36" t="n">
        <v>0</v>
      </c>
      <c r="AW12" s="36" t="n">
        <v>0</v>
      </c>
      <c r="AX12" s="36" t="n">
        <v>0</v>
      </c>
      <c r="AY12" s="36" t="n">
        <v>0</v>
      </c>
      <c r="AZ12" s="36" t="n">
        <v>0</v>
      </c>
    </row>
    <row r="13" customFormat="false" ht="15" hidden="false" customHeight="false" outlineLevel="0" collapsed="false">
      <c r="A13" s="34" t="s">
        <v>122</v>
      </c>
      <c r="C13" s="35" t="n">
        <f aca="false">SUM(D13:AZ13)</f>
        <v>0.677826074711079</v>
      </c>
      <c r="D13" s="36" t="n">
        <f aca="false">Inputs!$B$33*(Inputs!$B$195/(Inputs!$B$194+Inputs!$B$195+Inputs!$B$196))*Inputs!$B$5</f>
        <v>0.135565214942216</v>
      </c>
      <c r="E13" s="36" t="n">
        <f aca="false">Inputs!$C$33*(Inputs!$B$195/(Inputs!$B$194+Inputs!$B$195+Inputs!$B$196))*Inputs!$B$5</f>
        <v>0.33891303735554</v>
      </c>
      <c r="F13" s="36" t="n">
        <f aca="false">Inputs!$D$33*(Inputs!$B$195/(Inputs!$B$194+Inputs!$B$195+Inputs!$B$196))*Inputs!$B$5</f>
        <v>0.203347822413324</v>
      </c>
      <c r="G13" s="36" t="n">
        <v>0</v>
      </c>
      <c r="H13" s="36" t="n">
        <v>0</v>
      </c>
      <c r="I13" s="36" t="n">
        <v>0</v>
      </c>
      <c r="J13" s="36" t="n">
        <v>0</v>
      </c>
      <c r="K13" s="36" t="n">
        <v>0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0</v>
      </c>
      <c r="R13" s="36" t="n">
        <v>0</v>
      </c>
      <c r="S13" s="36" t="n">
        <v>0</v>
      </c>
      <c r="T13" s="36" t="n">
        <v>0</v>
      </c>
      <c r="U13" s="36" t="n">
        <v>0</v>
      </c>
      <c r="V13" s="36" t="n">
        <v>0</v>
      </c>
      <c r="W13" s="36" t="n">
        <v>0</v>
      </c>
      <c r="X13" s="36" t="n">
        <v>0</v>
      </c>
      <c r="Y13" s="36" t="n">
        <v>0</v>
      </c>
      <c r="Z13" s="36" t="n">
        <v>0</v>
      </c>
      <c r="AA13" s="36" t="n">
        <v>0</v>
      </c>
      <c r="AB13" s="36" t="n">
        <v>0</v>
      </c>
      <c r="AC13" s="36" t="n">
        <v>0</v>
      </c>
      <c r="AD13" s="36" t="n">
        <v>0</v>
      </c>
      <c r="AE13" s="36" t="n">
        <v>0</v>
      </c>
      <c r="AF13" s="36" t="n">
        <v>0</v>
      </c>
      <c r="AG13" s="36" t="n">
        <v>0</v>
      </c>
      <c r="AH13" s="36" t="n">
        <v>0</v>
      </c>
      <c r="AI13" s="36" t="n">
        <v>0</v>
      </c>
      <c r="AJ13" s="36" t="n">
        <v>0</v>
      </c>
      <c r="AK13" s="36" t="n">
        <v>0</v>
      </c>
      <c r="AL13" s="36" t="n">
        <v>0</v>
      </c>
      <c r="AM13" s="36" t="n">
        <v>0</v>
      </c>
      <c r="AN13" s="36" t="n">
        <v>0</v>
      </c>
      <c r="AO13" s="36" t="n">
        <v>0</v>
      </c>
      <c r="AP13" s="36" t="n">
        <v>0</v>
      </c>
      <c r="AQ13" s="36" t="n">
        <v>0</v>
      </c>
      <c r="AR13" s="36" t="n">
        <v>0</v>
      </c>
      <c r="AS13" s="36" t="n">
        <v>0</v>
      </c>
      <c r="AT13" s="36" t="n">
        <v>0</v>
      </c>
      <c r="AU13" s="36" t="n">
        <v>0</v>
      </c>
      <c r="AV13" s="36" t="n">
        <v>0</v>
      </c>
      <c r="AW13" s="36" t="n">
        <v>0</v>
      </c>
      <c r="AX13" s="36" t="n">
        <v>0</v>
      </c>
      <c r="AY13" s="36" t="n">
        <v>0</v>
      </c>
      <c r="AZ13" s="36" t="n">
        <v>0</v>
      </c>
    </row>
    <row r="14" customFormat="false" ht="15" hidden="false" customHeight="false" outlineLevel="0" collapsed="false">
      <c r="A14" s="34" t="s">
        <v>123</v>
      </c>
      <c r="C14" s="35" t="n">
        <f aca="false">SUM(D14:AZ14)</f>
        <v>2.54184778016655</v>
      </c>
      <c r="D14" s="36" t="n">
        <f aca="false">Inputs!$B$34*(Inputs!$B$195/(Inputs!$B$194+Inputs!$B$195+Inputs!$B$196))*Inputs!$B$5</f>
        <v>1.99958692039768</v>
      </c>
      <c r="E14" s="36" t="n">
        <f aca="false">Inputs!$C$34*(Inputs!$B$195/(Inputs!$B$194+Inputs!$B$195+Inputs!$B$196))*Inputs!$B$5</f>
        <v>0.542260859768863</v>
      </c>
      <c r="F14" s="36" t="n">
        <f aca="false">Inputs!$D$34*(Inputs!$B$195/(Inputs!$B$194+Inputs!$B$195+Inputs!$B$196))*Inputs!$B$5</f>
        <v>0</v>
      </c>
      <c r="G14" s="36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0</v>
      </c>
      <c r="N14" s="36" t="n">
        <v>0</v>
      </c>
      <c r="O14" s="36" t="n">
        <v>0</v>
      </c>
      <c r="P14" s="36" t="n">
        <v>0</v>
      </c>
      <c r="Q14" s="36" t="n">
        <v>0</v>
      </c>
      <c r="R14" s="36" t="n">
        <v>0</v>
      </c>
      <c r="S14" s="36" t="n">
        <v>0</v>
      </c>
      <c r="T14" s="36" t="n">
        <v>0</v>
      </c>
      <c r="U14" s="36" t="n">
        <v>0</v>
      </c>
      <c r="V14" s="36" t="n">
        <v>0</v>
      </c>
      <c r="W14" s="36" t="n">
        <v>0</v>
      </c>
      <c r="X14" s="36" t="n">
        <v>0</v>
      </c>
      <c r="Y14" s="36" t="n">
        <v>0</v>
      </c>
      <c r="Z14" s="36" t="n">
        <v>0</v>
      </c>
      <c r="AA14" s="36" t="n">
        <v>0</v>
      </c>
      <c r="AB14" s="36" t="n">
        <v>0</v>
      </c>
      <c r="AC14" s="36" t="n">
        <v>0</v>
      </c>
      <c r="AD14" s="36" t="n">
        <v>0</v>
      </c>
      <c r="AE14" s="36" t="n">
        <v>0</v>
      </c>
      <c r="AF14" s="36" t="n">
        <v>0</v>
      </c>
      <c r="AG14" s="36" t="n">
        <v>0</v>
      </c>
      <c r="AH14" s="36" t="n">
        <v>0</v>
      </c>
      <c r="AI14" s="36" t="n">
        <v>0</v>
      </c>
      <c r="AJ14" s="36" t="n">
        <v>0</v>
      </c>
      <c r="AK14" s="36" t="n">
        <v>0</v>
      </c>
      <c r="AL14" s="36" t="n">
        <v>0</v>
      </c>
      <c r="AM14" s="36" t="n">
        <v>0</v>
      </c>
      <c r="AN14" s="36" t="n">
        <v>0</v>
      </c>
      <c r="AO14" s="36" t="n">
        <v>0</v>
      </c>
      <c r="AP14" s="36" t="n">
        <v>0</v>
      </c>
      <c r="AQ14" s="36" t="n">
        <v>0</v>
      </c>
      <c r="AR14" s="36" t="n">
        <v>0</v>
      </c>
      <c r="AS14" s="36" t="n">
        <v>0</v>
      </c>
      <c r="AT14" s="36" t="n">
        <v>0</v>
      </c>
      <c r="AU14" s="36" t="n">
        <v>0</v>
      </c>
      <c r="AV14" s="36" t="n">
        <v>0</v>
      </c>
      <c r="AW14" s="36" t="n">
        <v>0</v>
      </c>
      <c r="AX14" s="36" t="n">
        <v>0</v>
      </c>
      <c r="AY14" s="36" t="n">
        <v>0</v>
      </c>
      <c r="AZ14" s="36" t="n">
        <v>0</v>
      </c>
    </row>
    <row r="15" customFormat="false" ht="15" hidden="false" customHeight="false" outlineLevel="0" collapsed="false">
      <c r="A15" s="34" t="s">
        <v>124</v>
      </c>
      <c r="C15" s="35" t="n">
        <f aca="false">SUM(D15:AZ15)</f>
        <v>1.35565214942216</v>
      </c>
      <c r="D15" s="36" t="n">
        <f aca="false">Inputs!$B$35*(Inputs!$B$195/(Inputs!$B$194+Inputs!$B$195+Inputs!$B$196))*Inputs!$B$5</f>
        <v>0.288076081752209</v>
      </c>
      <c r="E15" s="36" t="n">
        <f aca="false">Inputs!$C$35*(Inputs!$B$195/(Inputs!$B$194+Inputs!$B$195+Inputs!$B$196))*Inputs!$B$5</f>
        <v>0.677826074711079</v>
      </c>
      <c r="F15" s="36" t="n">
        <f aca="false">Inputs!$D$35*(Inputs!$B$195/(Inputs!$B$194+Inputs!$B$195+Inputs!$B$196))*Inputs!$B$5</f>
        <v>0.38974999295887</v>
      </c>
      <c r="G15" s="36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0</v>
      </c>
      <c r="Q15" s="36" t="n">
        <v>0</v>
      </c>
      <c r="R15" s="36" t="n">
        <v>0</v>
      </c>
      <c r="S15" s="36" t="n">
        <v>0</v>
      </c>
      <c r="T15" s="36" t="n">
        <v>0</v>
      </c>
      <c r="U15" s="36" t="n">
        <v>0</v>
      </c>
      <c r="V15" s="36" t="n">
        <v>0</v>
      </c>
      <c r="W15" s="36" t="n">
        <v>0</v>
      </c>
      <c r="X15" s="36" t="n">
        <v>0</v>
      </c>
      <c r="Y15" s="36" t="n">
        <v>0</v>
      </c>
      <c r="Z15" s="36" t="n">
        <v>0</v>
      </c>
      <c r="AA15" s="36" t="n">
        <v>0</v>
      </c>
      <c r="AB15" s="36" t="n">
        <v>0</v>
      </c>
      <c r="AC15" s="36" t="n">
        <v>0</v>
      </c>
      <c r="AD15" s="36" t="n">
        <v>0</v>
      </c>
      <c r="AE15" s="36" t="n">
        <v>0</v>
      </c>
      <c r="AF15" s="36" t="n">
        <v>0</v>
      </c>
      <c r="AG15" s="36" t="n">
        <v>0</v>
      </c>
      <c r="AH15" s="36" t="n">
        <v>0</v>
      </c>
      <c r="AI15" s="36" t="n">
        <v>0</v>
      </c>
      <c r="AJ15" s="36" t="n">
        <v>0</v>
      </c>
      <c r="AK15" s="36" t="n">
        <v>0</v>
      </c>
      <c r="AL15" s="36" t="n">
        <v>0</v>
      </c>
      <c r="AM15" s="36" t="n">
        <v>0</v>
      </c>
      <c r="AN15" s="36" t="n">
        <v>0</v>
      </c>
      <c r="AO15" s="36" t="n">
        <v>0</v>
      </c>
      <c r="AP15" s="36" t="n">
        <v>0</v>
      </c>
      <c r="AQ15" s="36" t="n">
        <v>0</v>
      </c>
      <c r="AR15" s="36" t="n">
        <v>0</v>
      </c>
      <c r="AS15" s="36" t="n">
        <v>0</v>
      </c>
      <c r="AT15" s="36" t="n">
        <v>0</v>
      </c>
      <c r="AU15" s="36" t="n">
        <v>0</v>
      </c>
      <c r="AV15" s="36" t="n">
        <v>0</v>
      </c>
      <c r="AW15" s="36" t="n">
        <v>0</v>
      </c>
      <c r="AX15" s="36" t="n">
        <v>0</v>
      </c>
      <c r="AY15" s="36" t="n">
        <v>0</v>
      </c>
      <c r="AZ15" s="36" t="n">
        <v>0</v>
      </c>
    </row>
    <row r="16" customFormat="false" ht="15" hidden="false" customHeight="false" outlineLevel="0" collapsed="false">
      <c r="A16" s="34" t="s">
        <v>125</v>
      </c>
      <c r="C16" s="35" t="n">
        <f aca="false">SUM(D16:AZ16)</f>
        <v>0.847282593388849</v>
      </c>
      <c r="D16" s="36" t="n">
        <f aca="false">Inputs!$B$36*(Inputs!$B$195/(Inputs!$B$194+Inputs!$B$195+Inputs!$B$196))*Inputs!$B$5</f>
        <v>0.711717378446633</v>
      </c>
      <c r="E16" s="36" t="n">
        <f aca="false">Inputs!$C$36*(Inputs!$B$195/(Inputs!$B$194+Inputs!$B$195+Inputs!$B$196))*Inputs!$B$5</f>
        <v>0.135565214942216</v>
      </c>
      <c r="F16" s="36" t="n">
        <f aca="false">Inputs!$D$36*(Inputs!$B$195/(Inputs!$B$194+Inputs!$B$195+Inputs!$B$196))*Inputs!$B$5</f>
        <v>0</v>
      </c>
      <c r="G16" s="36" t="n">
        <v>0</v>
      </c>
      <c r="H16" s="36" t="n">
        <v>0</v>
      </c>
      <c r="I16" s="36" t="n">
        <v>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0</v>
      </c>
      <c r="Q16" s="36" t="n">
        <v>0</v>
      </c>
      <c r="R16" s="36" t="n">
        <v>0</v>
      </c>
      <c r="S16" s="36" t="n">
        <v>0</v>
      </c>
      <c r="T16" s="36" t="n">
        <v>0</v>
      </c>
      <c r="U16" s="36" t="n">
        <v>0</v>
      </c>
      <c r="V16" s="36" t="n">
        <v>0</v>
      </c>
      <c r="W16" s="36" t="n">
        <v>0</v>
      </c>
      <c r="X16" s="36" t="n">
        <v>0</v>
      </c>
      <c r="Y16" s="36" t="n">
        <v>0</v>
      </c>
      <c r="Z16" s="36" t="n">
        <v>0</v>
      </c>
      <c r="AA16" s="36" t="n">
        <v>0</v>
      </c>
      <c r="AB16" s="36" t="n">
        <v>0</v>
      </c>
      <c r="AC16" s="36" t="n">
        <v>0</v>
      </c>
      <c r="AD16" s="36" t="n">
        <v>0</v>
      </c>
      <c r="AE16" s="36" t="n">
        <v>0</v>
      </c>
      <c r="AF16" s="36" t="n">
        <v>0</v>
      </c>
      <c r="AG16" s="36" t="n">
        <v>0</v>
      </c>
      <c r="AH16" s="36" t="n">
        <v>0</v>
      </c>
      <c r="AI16" s="36" t="n">
        <v>0</v>
      </c>
      <c r="AJ16" s="36" t="n">
        <v>0</v>
      </c>
      <c r="AK16" s="36" t="n">
        <v>0</v>
      </c>
      <c r="AL16" s="36" t="n">
        <v>0</v>
      </c>
      <c r="AM16" s="36" t="n">
        <v>0</v>
      </c>
      <c r="AN16" s="36" t="n">
        <v>0</v>
      </c>
      <c r="AO16" s="36" t="n">
        <v>0</v>
      </c>
      <c r="AP16" s="36" t="n">
        <v>0</v>
      </c>
      <c r="AQ16" s="36" t="n">
        <v>0</v>
      </c>
      <c r="AR16" s="36" t="n">
        <v>0</v>
      </c>
      <c r="AS16" s="36" t="n">
        <v>0</v>
      </c>
      <c r="AT16" s="36" t="n">
        <v>0</v>
      </c>
      <c r="AU16" s="36" t="n">
        <v>0</v>
      </c>
      <c r="AV16" s="36" t="n">
        <v>0</v>
      </c>
      <c r="AW16" s="36" t="n">
        <v>0</v>
      </c>
      <c r="AX16" s="36" t="n">
        <v>0</v>
      </c>
      <c r="AY16" s="36" t="n">
        <v>0</v>
      </c>
      <c r="AZ16" s="36" t="n">
        <v>0</v>
      </c>
    </row>
    <row r="17" customFormat="false" ht="15" hidden="false" customHeight="false" outlineLevel="0" collapsed="false">
      <c r="A17" s="34" t="s">
        <v>126</v>
      </c>
      <c r="C17" s="35" t="n">
        <f aca="false">SUM(D17:AZ17)</f>
        <v>1.18619563074439</v>
      </c>
      <c r="D17" s="36" t="n">
        <f aca="false">Inputs!$B$37*(Inputs!$B$195/(Inputs!$B$194+Inputs!$B$195+Inputs!$B$196))*Inputs!$B$5</f>
        <v>0</v>
      </c>
      <c r="E17" s="36" t="n">
        <f aca="false">Inputs!$C$37*(Inputs!$B$195/(Inputs!$B$194+Inputs!$B$195+Inputs!$B$196))*Inputs!$B$5</f>
        <v>0.135565214942216</v>
      </c>
      <c r="F17" s="36" t="n">
        <f aca="false">Inputs!$D$37*(Inputs!$B$195/(Inputs!$B$194+Inputs!$B$195+Inputs!$B$196))*Inputs!$B$5</f>
        <v>1.05063041580217</v>
      </c>
      <c r="G17" s="36" t="n">
        <v>0</v>
      </c>
      <c r="H17" s="36" t="n">
        <v>0</v>
      </c>
      <c r="I17" s="36" t="n">
        <v>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0</v>
      </c>
      <c r="Q17" s="36" t="n">
        <v>0</v>
      </c>
      <c r="R17" s="36" t="n">
        <v>0</v>
      </c>
      <c r="S17" s="36" t="n">
        <v>0</v>
      </c>
      <c r="T17" s="36" t="n">
        <v>0</v>
      </c>
      <c r="U17" s="36" t="n">
        <v>0</v>
      </c>
      <c r="V17" s="36" t="n">
        <v>0</v>
      </c>
      <c r="W17" s="36" t="n">
        <v>0</v>
      </c>
      <c r="X17" s="36" t="n">
        <v>0</v>
      </c>
      <c r="Y17" s="36" t="n">
        <v>0</v>
      </c>
      <c r="Z17" s="36" t="n">
        <v>0</v>
      </c>
      <c r="AA17" s="36" t="n">
        <v>0</v>
      </c>
      <c r="AB17" s="36" t="n">
        <v>0</v>
      </c>
      <c r="AC17" s="36" t="n">
        <v>0</v>
      </c>
      <c r="AD17" s="36" t="n">
        <v>0</v>
      </c>
      <c r="AE17" s="36" t="n">
        <v>0</v>
      </c>
      <c r="AF17" s="36" t="n">
        <v>0</v>
      </c>
      <c r="AG17" s="36" t="n">
        <v>0</v>
      </c>
      <c r="AH17" s="36" t="n">
        <v>0</v>
      </c>
      <c r="AI17" s="36" t="n">
        <v>0</v>
      </c>
      <c r="AJ17" s="36" t="n">
        <v>0</v>
      </c>
      <c r="AK17" s="36" t="n">
        <v>0</v>
      </c>
      <c r="AL17" s="36" t="n">
        <v>0</v>
      </c>
      <c r="AM17" s="36" t="n">
        <v>0</v>
      </c>
      <c r="AN17" s="36" t="n">
        <v>0</v>
      </c>
      <c r="AO17" s="36" t="n">
        <v>0</v>
      </c>
      <c r="AP17" s="36" t="n">
        <v>0</v>
      </c>
      <c r="AQ17" s="36" t="n">
        <v>0</v>
      </c>
      <c r="AR17" s="36" t="n">
        <v>0</v>
      </c>
      <c r="AS17" s="36" t="n">
        <v>0</v>
      </c>
      <c r="AT17" s="36" t="n">
        <v>0</v>
      </c>
      <c r="AU17" s="36" t="n">
        <v>0</v>
      </c>
      <c r="AV17" s="36" t="n">
        <v>0</v>
      </c>
      <c r="AW17" s="36" t="n">
        <v>0</v>
      </c>
      <c r="AX17" s="36" t="n">
        <v>0</v>
      </c>
      <c r="AY17" s="36" t="n">
        <v>0</v>
      </c>
      <c r="AZ17" s="36" t="n">
        <v>0</v>
      </c>
    </row>
    <row r="18" customFormat="false" ht="15" hidden="false" customHeight="false" outlineLevel="0" collapsed="false">
      <c r="A18" s="34" t="s">
        <v>127</v>
      </c>
      <c r="C18" s="35" t="n">
        <f aca="false">SUM(D18:AZ18)</f>
        <v>0.847282593388849</v>
      </c>
      <c r="D18" s="36" t="n">
        <f aca="false">Inputs!$B$38*(Inputs!$B$195/(Inputs!$B$194+Inputs!$B$195+Inputs!$B$196))*Inputs!$B$5</f>
        <v>0.152510866809993</v>
      </c>
      <c r="E18" s="36" t="n">
        <f aca="false">Inputs!$C$38*(Inputs!$B$195/(Inputs!$B$194+Inputs!$B$195+Inputs!$B$196))*Inputs!$B$5</f>
        <v>0.372804341091094</v>
      </c>
      <c r="F18" s="36" t="n">
        <f aca="false">Inputs!$D$38*(Inputs!$B$195/(Inputs!$B$194+Inputs!$B$195+Inputs!$B$196))*Inputs!$B$5</f>
        <v>0.321967385487763</v>
      </c>
      <c r="G18" s="36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0</v>
      </c>
      <c r="R18" s="36" t="n">
        <v>0</v>
      </c>
      <c r="S18" s="36" t="n">
        <v>0</v>
      </c>
      <c r="T18" s="36" t="n">
        <v>0</v>
      </c>
      <c r="U18" s="36" t="n">
        <v>0</v>
      </c>
      <c r="V18" s="36" t="n">
        <v>0</v>
      </c>
      <c r="W18" s="36" t="n">
        <v>0</v>
      </c>
      <c r="X18" s="36" t="n">
        <v>0</v>
      </c>
      <c r="Y18" s="36" t="n">
        <v>0</v>
      </c>
      <c r="Z18" s="36" t="n">
        <v>0</v>
      </c>
      <c r="AA18" s="36" t="n">
        <v>0</v>
      </c>
      <c r="AB18" s="36" t="n">
        <v>0</v>
      </c>
      <c r="AC18" s="36" t="n">
        <v>0</v>
      </c>
      <c r="AD18" s="36" t="n">
        <v>0</v>
      </c>
      <c r="AE18" s="36" t="n">
        <v>0</v>
      </c>
      <c r="AF18" s="36" t="n">
        <v>0</v>
      </c>
      <c r="AG18" s="36" t="n">
        <v>0</v>
      </c>
      <c r="AH18" s="36" t="n">
        <v>0</v>
      </c>
      <c r="AI18" s="36" t="n">
        <v>0</v>
      </c>
      <c r="AJ18" s="36" t="n">
        <v>0</v>
      </c>
      <c r="AK18" s="36" t="n">
        <v>0</v>
      </c>
      <c r="AL18" s="36" t="n">
        <v>0</v>
      </c>
      <c r="AM18" s="36" t="n">
        <v>0</v>
      </c>
      <c r="AN18" s="36" t="n">
        <v>0</v>
      </c>
      <c r="AO18" s="36" t="n">
        <v>0</v>
      </c>
      <c r="AP18" s="36" t="n">
        <v>0</v>
      </c>
      <c r="AQ18" s="36" t="n">
        <v>0</v>
      </c>
      <c r="AR18" s="36" t="n">
        <v>0</v>
      </c>
      <c r="AS18" s="36" t="n">
        <v>0</v>
      </c>
      <c r="AT18" s="36" t="n">
        <v>0</v>
      </c>
      <c r="AU18" s="36" t="n">
        <v>0</v>
      </c>
      <c r="AV18" s="36" t="n">
        <v>0</v>
      </c>
      <c r="AW18" s="36" t="n">
        <v>0</v>
      </c>
      <c r="AX18" s="36" t="n">
        <v>0</v>
      </c>
      <c r="AY18" s="36" t="n">
        <v>0</v>
      </c>
      <c r="AZ18" s="36" t="n">
        <v>0</v>
      </c>
    </row>
    <row r="19" customFormat="false" ht="15" hidden="false" customHeight="false" outlineLevel="0" collapsed="false">
      <c r="A19" s="3" t="s">
        <v>128</v>
      </c>
      <c r="C19" s="37" t="n">
        <f aca="false">SUM(D19:AZ19)</f>
        <v>109.599553122976</v>
      </c>
      <c r="D19" s="37" t="n">
        <f aca="false">SUM(D6:D13)</f>
        <v>3.71308684998639</v>
      </c>
      <c r="E19" s="37" t="n">
        <f aca="false">SUM(E6:E13)</f>
        <v>52.2923431437235</v>
      </c>
      <c r="F19" s="37" t="n">
        <f aca="false">SUM(F6:F13)</f>
        <v>53.5941231292658</v>
      </c>
      <c r="G19" s="37" t="n">
        <f aca="false">SUM(G6:G13)</f>
        <v>0</v>
      </c>
      <c r="H19" s="37" t="n">
        <f aca="false">SUM(H6:H13)</f>
        <v>0</v>
      </c>
      <c r="I19" s="37" t="n">
        <f aca="false">SUM(I6:I13)</f>
        <v>0</v>
      </c>
      <c r="J19" s="37" t="n">
        <f aca="false">SUM(J6:J13)</f>
        <v>0</v>
      </c>
      <c r="K19" s="37" t="n">
        <f aca="false">SUM(K6:K13)</f>
        <v>0</v>
      </c>
      <c r="L19" s="37" t="n">
        <f aca="false">SUM(L6:L13)</f>
        <v>0</v>
      </c>
      <c r="M19" s="37" t="n">
        <f aca="false">SUM(M6:M13)</f>
        <v>0</v>
      </c>
      <c r="N19" s="37" t="n">
        <f aca="false">SUM(N6:N13)</f>
        <v>0</v>
      </c>
      <c r="O19" s="37" t="n">
        <f aca="false">SUM(O6:O13)</f>
        <v>0</v>
      </c>
      <c r="P19" s="37" t="n">
        <f aca="false">SUM(P6:P13)</f>
        <v>0</v>
      </c>
      <c r="Q19" s="37" t="n">
        <f aca="false">SUM(Q6:Q13)</f>
        <v>0</v>
      </c>
      <c r="R19" s="37" t="n">
        <f aca="false">SUM(R6:R13)</f>
        <v>0</v>
      </c>
      <c r="S19" s="37" t="n">
        <f aca="false">SUM(S6:S13)</f>
        <v>0</v>
      </c>
      <c r="T19" s="37" t="n">
        <f aca="false">SUM(T6:T13)</f>
        <v>0</v>
      </c>
      <c r="U19" s="37" t="n">
        <f aca="false">SUM(U6:U13)</f>
        <v>0</v>
      </c>
      <c r="V19" s="37" t="n">
        <f aca="false">SUM(V6:V13)</f>
        <v>0</v>
      </c>
      <c r="W19" s="37" t="n">
        <f aca="false">SUM(W6:W13)</f>
        <v>0</v>
      </c>
      <c r="X19" s="37" t="n">
        <f aca="false">SUM(X6:X13)</f>
        <v>0</v>
      </c>
      <c r="Y19" s="37" t="n">
        <f aca="false">SUM(Y6:Y13)</f>
        <v>0</v>
      </c>
      <c r="Z19" s="37" t="n">
        <f aca="false">SUM(Z6:Z13)</f>
        <v>0</v>
      </c>
      <c r="AA19" s="37" t="n">
        <f aca="false">SUM(AA6:AA13)</f>
        <v>0</v>
      </c>
      <c r="AB19" s="37" t="n">
        <f aca="false">SUM(AB6:AB13)</f>
        <v>0</v>
      </c>
      <c r="AC19" s="37" t="n">
        <f aca="false">SUM(AC6:AC13)</f>
        <v>0</v>
      </c>
      <c r="AD19" s="37" t="n">
        <f aca="false">SUM(AD6:AD13)</f>
        <v>0</v>
      </c>
      <c r="AE19" s="37" t="n">
        <f aca="false">SUM(AE6:AE13)</f>
        <v>0</v>
      </c>
      <c r="AF19" s="37" t="n">
        <f aca="false">SUM(AF6:AF13)</f>
        <v>0</v>
      </c>
      <c r="AG19" s="37" t="n">
        <f aca="false">SUM(AG6:AG13)</f>
        <v>0</v>
      </c>
      <c r="AH19" s="37" t="n">
        <f aca="false">SUM(AH6:AH13)</f>
        <v>0</v>
      </c>
      <c r="AI19" s="37" t="n">
        <f aca="false">SUM(AI6:AI13)</f>
        <v>0</v>
      </c>
      <c r="AJ19" s="37" t="n">
        <f aca="false">SUM(AJ6:AJ13)</f>
        <v>0</v>
      </c>
      <c r="AK19" s="37" t="n">
        <f aca="false">SUM(AK6:AK13)</f>
        <v>0</v>
      </c>
      <c r="AL19" s="37" t="n">
        <f aca="false">SUM(AL6:AL13)</f>
        <v>0</v>
      </c>
      <c r="AM19" s="37" t="n">
        <f aca="false">SUM(AM6:AM13)</f>
        <v>0</v>
      </c>
      <c r="AN19" s="37" t="n">
        <f aca="false">SUM(AN6:AN13)</f>
        <v>0</v>
      </c>
      <c r="AO19" s="37" t="n">
        <f aca="false">SUM(AO6:AO13)</f>
        <v>0</v>
      </c>
      <c r="AP19" s="37" t="n">
        <f aca="false">SUM(AP6:AP13)</f>
        <v>0</v>
      </c>
      <c r="AQ19" s="37" t="n">
        <f aca="false">SUM(AQ6:AQ13)</f>
        <v>0</v>
      </c>
      <c r="AR19" s="37" t="n">
        <f aca="false">SUM(AR6:AR13)</f>
        <v>0</v>
      </c>
      <c r="AS19" s="37" t="n">
        <f aca="false">SUM(AS6:AS13)</f>
        <v>0</v>
      </c>
      <c r="AT19" s="37" t="n">
        <f aca="false">SUM(AT6:AT13)</f>
        <v>0</v>
      </c>
      <c r="AU19" s="37" t="n">
        <f aca="false">SUM(AU6:AU13)</f>
        <v>0</v>
      </c>
      <c r="AV19" s="37" t="n">
        <f aca="false">SUM(AV6:AV13)</f>
        <v>0</v>
      </c>
      <c r="AW19" s="37" t="n">
        <f aca="false">SUM(AW6:AW13)</f>
        <v>0</v>
      </c>
      <c r="AX19" s="37" t="n">
        <f aca="false">SUM(AX6:AX13)</f>
        <v>0</v>
      </c>
      <c r="AY19" s="37" t="n">
        <f aca="false">SUM(AY6:AY13)</f>
        <v>0</v>
      </c>
      <c r="AZ19" s="37" t="n">
        <f aca="false">SUM(AZ6:AZ13)</f>
        <v>0</v>
      </c>
    </row>
    <row r="20" customFormat="false" ht="15" hidden="false" customHeight="false" outlineLevel="0" collapsed="false">
      <c r="A20" s="3" t="s">
        <v>129</v>
      </c>
      <c r="C20" s="38" t="n">
        <f aca="false">SUM(D20:AZ20)</f>
        <v>6.77826074711079</v>
      </c>
      <c r="D20" s="38" t="n">
        <f aca="false">SUM(D14:D18)</f>
        <v>3.15189124740652</v>
      </c>
      <c r="E20" s="38" t="n">
        <f aca="false">SUM(E14:E18)</f>
        <v>1.86402170545547</v>
      </c>
      <c r="F20" s="38" t="n">
        <f aca="false">SUM(F14:F18)</f>
        <v>1.76234779424881</v>
      </c>
      <c r="G20" s="38" t="n">
        <f aca="false">SUM(G14:G18)</f>
        <v>0</v>
      </c>
      <c r="H20" s="38" t="n">
        <f aca="false">SUM(H14:H18)</f>
        <v>0</v>
      </c>
      <c r="I20" s="38" t="n">
        <f aca="false">SUM(I14:I18)</f>
        <v>0</v>
      </c>
      <c r="J20" s="38" t="n">
        <f aca="false">SUM(J14:J18)</f>
        <v>0</v>
      </c>
      <c r="K20" s="38" t="n">
        <f aca="false">SUM(K14:K18)</f>
        <v>0</v>
      </c>
      <c r="L20" s="38" t="n">
        <f aca="false">SUM(L14:L18)</f>
        <v>0</v>
      </c>
      <c r="M20" s="38" t="n">
        <f aca="false">SUM(M14:M18)</f>
        <v>0</v>
      </c>
      <c r="N20" s="38" t="n">
        <f aca="false">SUM(N14:N18)</f>
        <v>0</v>
      </c>
      <c r="O20" s="38" t="n">
        <f aca="false">SUM(O14:O18)</f>
        <v>0</v>
      </c>
      <c r="P20" s="38" t="n">
        <f aca="false">SUM(P14:P18)</f>
        <v>0</v>
      </c>
      <c r="Q20" s="38" t="n">
        <f aca="false">SUM(Q14:Q18)</f>
        <v>0</v>
      </c>
      <c r="R20" s="38" t="n">
        <f aca="false">SUM(R14:R18)</f>
        <v>0</v>
      </c>
      <c r="S20" s="38" t="n">
        <f aca="false">SUM(S14:S18)</f>
        <v>0</v>
      </c>
      <c r="T20" s="38" t="n">
        <f aca="false">SUM(T14:T18)</f>
        <v>0</v>
      </c>
      <c r="U20" s="38" t="n">
        <f aca="false">SUM(U14:U18)</f>
        <v>0</v>
      </c>
      <c r="V20" s="38" t="n">
        <f aca="false">SUM(V14:V18)</f>
        <v>0</v>
      </c>
      <c r="W20" s="38" t="n">
        <f aca="false">SUM(W14:W18)</f>
        <v>0</v>
      </c>
      <c r="X20" s="38" t="n">
        <f aca="false">SUM(X14:X18)</f>
        <v>0</v>
      </c>
      <c r="Y20" s="38" t="n">
        <f aca="false">SUM(Y14:Y18)</f>
        <v>0</v>
      </c>
      <c r="Z20" s="38" t="n">
        <f aca="false">SUM(Z14:Z18)</f>
        <v>0</v>
      </c>
      <c r="AA20" s="38" t="n">
        <f aca="false">SUM(AA14:AA18)</f>
        <v>0</v>
      </c>
      <c r="AB20" s="38" t="n">
        <f aca="false">SUM(AB14:AB18)</f>
        <v>0</v>
      </c>
      <c r="AC20" s="38" t="n">
        <f aca="false">SUM(AC14:AC18)</f>
        <v>0</v>
      </c>
      <c r="AD20" s="38" t="n">
        <f aca="false">SUM(AD14:AD18)</f>
        <v>0</v>
      </c>
      <c r="AE20" s="38" t="n">
        <f aca="false">SUM(AE14:AE18)</f>
        <v>0</v>
      </c>
      <c r="AF20" s="38" t="n">
        <f aca="false">SUM(AF14:AF18)</f>
        <v>0</v>
      </c>
      <c r="AG20" s="38" t="n">
        <f aca="false">SUM(AG14:AG18)</f>
        <v>0</v>
      </c>
      <c r="AH20" s="38" t="n">
        <f aca="false">SUM(AH14:AH18)</f>
        <v>0</v>
      </c>
      <c r="AI20" s="38" t="n">
        <f aca="false">SUM(AI14:AI18)</f>
        <v>0</v>
      </c>
      <c r="AJ20" s="38" t="n">
        <f aca="false">SUM(AJ14:AJ18)</f>
        <v>0</v>
      </c>
      <c r="AK20" s="38" t="n">
        <f aca="false">SUM(AK14:AK18)</f>
        <v>0</v>
      </c>
      <c r="AL20" s="38" t="n">
        <f aca="false">SUM(AL14:AL18)</f>
        <v>0</v>
      </c>
      <c r="AM20" s="38" t="n">
        <f aca="false">SUM(AM14:AM18)</f>
        <v>0</v>
      </c>
      <c r="AN20" s="38" t="n">
        <f aca="false">SUM(AN14:AN18)</f>
        <v>0</v>
      </c>
      <c r="AO20" s="38" t="n">
        <f aca="false">SUM(AO14:AO18)</f>
        <v>0</v>
      </c>
      <c r="AP20" s="38" t="n">
        <f aca="false">SUM(AP14:AP18)</f>
        <v>0</v>
      </c>
      <c r="AQ20" s="38" t="n">
        <f aca="false">SUM(AQ14:AQ18)</f>
        <v>0</v>
      </c>
      <c r="AR20" s="38" t="n">
        <f aca="false">SUM(AR14:AR18)</f>
        <v>0</v>
      </c>
      <c r="AS20" s="38" t="n">
        <f aca="false">SUM(AS14:AS18)</f>
        <v>0</v>
      </c>
      <c r="AT20" s="38" t="n">
        <f aca="false">SUM(AT14:AT18)</f>
        <v>0</v>
      </c>
      <c r="AU20" s="38" t="n">
        <f aca="false">SUM(AU14:AU18)</f>
        <v>0</v>
      </c>
      <c r="AV20" s="38" t="n">
        <f aca="false">SUM(AV14:AV18)</f>
        <v>0</v>
      </c>
      <c r="AW20" s="38" t="n">
        <f aca="false">SUM(AW14:AW18)</f>
        <v>0</v>
      </c>
      <c r="AX20" s="38" t="n">
        <f aca="false">SUM(AX14:AX18)</f>
        <v>0</v>
      </c>
      <c r="AY20" s="38" t="n">
        <f aca="false">SUM(AY14:AY18)</f>
        <v>0</v>
      </c>
      <c r="AZ20" s="38" t="n">
        <f aca="false">SUM(AZ14:AZ18)</f>
        <v>0</v>
      </c>
    </row>
    <row r="21" customFormat="false" ht="15" hidden="false" customHeight="false" outlineLevel="0" collapsed="false">
      <c r="A21" s="3" t="s">
        <v>130</v>
      </c>
      <c r="C21" s="38" t="n">
        <f aca="false">SUM(D21:AZ21)</f>
        <v>18.2</v>
      </c>
      <c r="D21" s="36" t="n">
        <v>0</v>
      </c>
      <c r="E21" s="36" t="n">
        <f aca="false">Inputs!$B$42*Inputs!$B$43*Inputs!$B$44</f>
        <v>2.4752</v>
      </c>
      <c r="F21" s="36" t="n">
        <f aca="false">Inputs!$B$42*Inputs!$B$43*(1-Inputs!$B$44)</f>
        <v>15.7248</v>
      </c>
      <c r="G21" s="36" t="n">
        <v>0</v>
      </c>
      <c r="H21" s="36" t="n">
        <v>0</v>
      </c>
      <c r="I21" s="36" t="n">
        <v>0</v>
      </c>
      <c r="J21" s="36" t="n">
        <v>0</v>
      </c>
      <c r="K21" s="36" t="n">
        <v>0</v>
      </c>
      <c r="L21" s="36" t="n">
        <v>0</v>
      </c>
      <c r="M21" s="36" t="n">
        <v>0</v>
      </c>
      <c r="N21" s="36" t="n">
        <v>0</v>
      </c>
      <c r="O21" s="36" t="n">
        <v>0</v>
      </c>
      <c r="P21" s="36" t="n">
        <v>0</v>
      </c>
      <c r="Q21" s="36" t="n">
        <v>0</v>
      </c>
      <c r="R21" s="36" t="n">
        <v>0</v>
      </c>
      <c r="S21" s="36" t="n">
        <v>0</v>
      </c>
      <c r="T21" s="36" t="n">
        <v>0</v>
      </c>
      <c r="U21" s="36" t="n">
        <v>0</v>
      </c>
      <c r="V21" s="36" t="n">
        <v>0</v>
      </c>
      <c r="W21" s="36" t="n">
        <v>0</v>
      </c>
      <c r="X21" s="36" t="n">
        <v>0</v>
      </c>
      <c r="Y21" s="36" t="n">
        <v>0</v>
      </c>
      <c r="Z21" s="36" t="n">
        <v>0</v>
      </c>
      <c r="AA21" s="36" t="n">
        <v>0</v>
      </c>
      <c r="AB21" s="36" t="n">
        <v>0</v>
      </c>
      <c r="AC21" s="36" t="n">
        <v>0</v>
      </c>
      <c r="AD21" s="36" t="n">
        <v>0</v>
      </c>
      <c r="AE21" s="36" t="n">
        <v>0</v>
      </c>
      <c r="AF21" s="36" t="n">
        <v>0</v>
      </c>
      <c r="AG21" s="36" t="n">
        <v>0</v>
      </c>
      <c r="AH21" s="36" t="n">
        <v>0</v>
      </c>
      <c r="AI21" s="36" t="n">
        <v>0</v>
      </c>
      <c r="AJ21" s="36" t="n">
        <v>0</v>
      </c>
      <c r="AK21" s="36" t="n">
        <v>0</v>
      </c>
      <c r="AL21" s="36" t="n">
        <v>0</v>
      </c>
      <c r="AM21" s="36" t="n">
        <v>0</v>
      </c>
      <c r="AN21" s="36" t="n">
        <v>0</v>
      </c>
      <c r="AO21" s="36" t="n">
        <v>0</v>
      </c>
      <c r="AP21" s="36" t="n">
        <v>0</v>
      </c>
      <c r="AQ21" s="36" t="n">
        <v>0</v>
      </c>
      <c r="AR21" s="36" t="n">
        <v>0</v>
      </c>
      <c r="AS21" s="36" t="n">
        <v>0</v>
      </c>
      <c r="AT21" s="36" t="n">
        <v>0</v>
      </c>
      <c r="AU21" s="36" t="n">
        <v>0</v>
      </c>
      <c r="AV21" s="36" t="n">
        <v>0</v>
      </c>
      <c r="AW21" s="36" t="n">
        <v>0</v>
      </c>
      <c r="AX21" s="36" t="n">
        <v>0</v>
      </c>
      <c r="AY21" s="36" t="n">
        <v>0</v>
      </c>
      <c r="AZ21" s="36" t="n">
        <v>0</v>
      </c>
    </row>
    <row r="22" customFormat="false" ht="15" hidden="false" customHeight="false" outlineLevel="0" collapsed="false">
      <c r="A22" s="3" t="s">
        <v>131</v>
      </c>
      <c r="C22" s="37" t="n">
        <f aca="false">SUM(D22:AZ22)</f>
        <v>134.577813870086</v>
      </c>
      <c r="D22" s="37" t="n">
        <f aca="false">D19+D20+D21</f>
        <v>6.86497809739291</v>
      </c>
      <c r="E22" s="37" t="n">
        <f aca="false">E19+E20+E21</f>
        <v>56.631564849179</v>
      </c>
      <c r="F22" s="37" t="n">
        <f aca="false">F19+F20+F21</f>
        <v>71.0812709235146</v>
      </c>
      <c r="G22" s="37" t="n">
        <f aca="false">G19+G20+G21</f>
        <v>0</v>
      </c>
      <c r="H22" s="37" t="n">
        <f aca="false">H19+H20+H21</f>
        <v>0</v>
      </c>
      <c r="I22" s="37" t="n">
        <f aca="false">I19+I20+I21</f>
        <v>0</v>
      </c>
      <c r="J22" s="37" t="n">
        <f aca="false">J19+J20+J21</f>
        <v>0</v>
      </c>
      <c r="K22" s="37" t="n">
        <f aca="false">K19+K20+K21</f>
        <v>0</v>
      </c>
      <c r="L22" s="37" t="n">
        <f aca="false">L19+L20+L21</f>
        <v>0</v>
      </c>
      <c r="M22" s="37" t="n">
        <f aca="false">M19+M20+M21</f>
        <v>0</v>
      </c>
      <c r="N22" s="37" t="n">
        <f aca="false">N19+N20+N21</f>
        <v>0</v>
      </c>
      <c r="O22" s="37" t="n">
        <f aca="false">O19+O20+O21</f>
        <v>0</v>
      </c>
      <c r="P22" s="37" t="n">
        <f aca="false">P19+P20+P21</f>
        <v>0</v>
      </c>
      <c r="Q22" s="37" t="n">
        <f aca="false">Q19+Q20+Q21</f>
        <v>0</v>
      </c>
      <c r="R22" s="37" t="n">
        <f aca="false">R19+R20+R21</f>
        <v>0</v>
      </c>
      <c r="S22" s="37" t="n">
        <f aca="false">S19+S20+S21</f>
        <v>0</v>
      </c>
      <c r="T22" s="37" t="n">
        <f aca="false">T19+T20+T21</f>
        <v>0</v>
      </c>
      <c r="U22" s="37" t="n">
        <f aca="false">U19+U20+U21</f>
        <v>0</v>
      </c>
      <c r="V22" s="37" t="n">
        <f aca="false">V19+V20+V21</f>
        <v>0</v>
      </c>
      <c r="W22" s="37" t="n">
        <f aca="false">W19+W20+W21</f>
        <v>0</v>
      </c>
      <c r="X22" s="37" t="n">
        <f aca="false">X19+X20+X21</f>
        <v>0</v>
      </c>
      <c r="Y22" s="37" t="n">
        <f aca="false">Y19+Y20+Y21</f>
        <v>0</v>
      </c>
      <c r="Z22" s="37" t="n">
        <f aca="false">Z19+Z20+Z21</f>
        <v>0</v>
      </c>
      <c r="AA22" s="37" t="n">
        <f aca="false">AA19+AA20+AA21</f>
        <v>0</v>
      </c>
      <c r="AB22" s="37" t="n">
        <f aca="false">AB19+AB20+AB21</f>
        <v>0</v>
      </c>
      <c r="AC22" s="37" t="n">
        <f aca="false">AC19+AC20+AC21</f>
        <v>0</v>
      </c>
      <c r="AD22" s="37" t="n">
        <f aca="false">AD19+AD20+AD21</f>
        <v>0</v>
      </c>
      <c r="AE22" s="37" t="n">
        <f aca="false">AE19+AE20+AE21</f>
        <v>0</v>
      </c>
      <c r="AF22" s="37" t="n">
        <f aca="false">AF19+AF20+AF21</f>
        <v>0</v>
      </c>
      <c r="AG22" s="37" t="n">
        <f aca="false">AG19+AG20+AG21</f>
        <v>0</v>
      </c>
      <c r="AH22" s="37" t="n">
        <f aca="false">AH19+AH20+AH21</f>
        <v>0</v>
      </c>
      <c r="AI22" s="37" t="n">
        <f aca="false">AI19+AI20+AI21</f>
        <v>0</v>
      </c>
      <c r="AJ22" s="37" t="n">
        <f aca="false">AJ19+AJ20+AJ21</f>
        <v>0</v>
      </c>
      <c r="AK22" s="37" t="n">
        <f aca="false">AK19+AK20+AK21</f>
        <v>0</v>
      </c>
      <c r="AL22" s="37" t="n">
        <f aca="false">AL19+AL20+AL21</f>
        <v>0</v>
      </c>
      <c r="AM22" s="37" t="n">
        <f aca="false">AM19+AM20+AM21</f>
        <v>0</v>
      </c>
      <c r="AN22" s="37" t="n">
        <f aca="false">AN19+AN20+AN21</f>
        <v>0</v>
      </c>
      <c r="AO22" s="37" t="n">
        <f aca="false">AO19+AO20+AO21</f>
        <v>0</v>
      </c>
      <c r="AP22" s="37" t="n">
        <f aca="false">AP19+AP20+AP21</f>
        <v>0</v>
      </c>
      <c r="AQ22" s="37" t="n">
        <f aca="false">AQ19+AQ20+AQ21</f>
        <v>0</v>
      </c>
      <c r="AR22" s="37" t="n">
        <f aca="false">AR19+AR20+AR21</f>
        <v>0</v>
      </c>
      <c r="AS22" s="37" t="n">
        <f aca="false">AS19+AS20+AS21</f>
        <v>0</v>
      </c>
      <c r="AT22" s="37" t="n">
        <f aca="false">AT19+AT20+AT21</f>
        <v>0</v>
      </c>
      <c r="AU22" s="37" t="n">
        <f aca="false">AU19+AU20+AU21</f>
        <v>0</v>
      </c>
      <c r="AV22" s="37" t="n">
        <f aca="false">AV19+AV20+AV21</f>
        <v>0</v>
      </c>
      <c r="AW22" s="37" t="n">
        <f aca="false">AW19+AW20+AW21</f>
        <v>0</v>
      </c>
      <c r="AX22" s="37" t="n">
        <f aca="false">AX19+AX20+AX21</f>
        <v>0</v>
      </c>
      <c r="AY22" s="37" t="n">
        <f aca="false">AY19+AY20+AY21</f>
        <v>0</v>
      </c>
      <c r="AZ22" s="37" t="n">
        <f aca="false">AZ19+AZ20+AZ21</f>
        <v>0</v>
      </c>
    </row>
    <row r="24" customFormat="false" ht="15" hidden="false" customHeight="false" outlineLevel="0" collapsed="false">
      <c r="A24" s="32" t="s">
        <v>132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</row>
    <row r="25" customFormat="false" ht="15" hidden="false" customHeight="false" outlineLevel="0" collapsed="false">
      <c r="A25" s="34" t="s">
        <v>133</v>
      </c>
      <c r="D25" s="35" t="n">
        <f aca="false">IF((2026-Inputs!$B$9)&lt;2028,0,IF((2026-Inputs!$B$9)&gt;2040,Inputs!$B$86*(1+Inputs!$B$87)^((2026-Inputs!$B$9)-2040),_xlfn.IFS((2026-Inputs!$B$9)=2028,Inputs!$B$74,(2026-Inputs!$B$9)=2029,Inputs!$B$75,(2026-Inputs!$B$9)=2030,Inputs!$B$76,(2026-Inputs!$B$9)=2031,Inputs!$B$77,(2026-Inputs!$B$9)=2032,Inputs!$B$78,(2026-Inputs!$B$9)=2033,Inputs!$B$79,(2026-Inputs!$B$9)=2034,Inputs!$B$80,(2026-Inputs!$B$9)=2035,Inputs!$B$81,(2026-Inputs!$B$9)=2036,Inputs!$B$82,(2026-Inputs!$B$9)=2037,Inputs!$B$83,(2026-Inputs!$B$9)=2038,Inputs!$B$84,(2026-Inputs!$B$9)=2039,Inputs!$B$85,(2026-Inputs!$B$9)=2040,Inputs!$B$86)))</f>
        <v>0</v>
      </c>
      <c r="E25" s="35" t="n">
        <f aca="false">IF((2027-Inputs!$B$9)&lt;2028,0,IF((2027-Inputs!$B$9)&gt;2040,Inputs!$B$86*(1+Inputs!$B$87)^((2027-Inputs!$B$9)-2040),_xlfn.IFS((2027-Inputs!$B$9)=2028,Inputs!$B$74,(2027-Inputs!$B$9)=2029,Inputs!$B$75,(2027-Inputs!$B$9)=2030,Inputs!$B$76,(2027-Inputs!$B$9)=2031,Inputs!$B$77,(2027-Inputs!$B$9)=2032,Inputs!$B$78,(2027-Inputs!$B$9)=2033,Inputs!$B$79,(2027-Inputs!$B$9)=2034,Inputs!$B$80,(2027-Inputs!$B$9)=2035,Inputs!$B$81,(2027-Inputs!$B$9)=2036,Inputs!$B$82,(2027-Inputs!$B$9)=2037,Inputs!$B$83,(2027-Inputs!$B$9)=2038,Inputs!$B$84,(2027-Inputs!$B$9)=2039,Inputs!$B$85,(2027-Inputs!$B$9)=2040,Inputs!$B$86)))</f>
        <v>0</v>
      </c>
      <c r="F25" s="35" t="n">
        <f aca="false">IF((2028-Inputs!$B$9)&lt;2028,0,IF((2028-Inputs!$B$9)&gt;2040,Inputs!$B$86*(1+Inputs!$B$87)^((2028-Inputs!$B$9)-2040),_xlfn.IFS((2028-Inputs!$B$9)=2028,Inputs!$B$74,(2028-Inputs!$B$9)=2029,Inputs!$B$75,(2028-Inputs!$B$9)=2030,Inputs!$B$76,(2028-Inputs!$B$9)=2031,Inputs!$B$77,(2028-Inputs!$B$9)=2032,Inputs!$B$78,(2028-Inputs!$B$9)=2033,Inputs!$B$79,(2028-Inputs!$B$9)=2034,Inputs!$B$80,(2028-Inputs!$B$9)=2035,Inputs!$B$81,(2028-Inputs!$B$9)=2036,Inputs!$B$82,(2028-Inputs!$B$9)=2037,Inputs!$B$83,(2028-Inputs!$B$9)=2038,Inputs!$B$84,(2028-Inputs!$B$9)=2039,Inputs!$B$85,(2028-Inputs!$B$9)=2040,Inputs!$B$86)))</f>
        <v>78.93</v>
      </c>
      <c r="G25" s="35" t="n">
        <f aca="false">IF((2029-Inputs!$B$9)&lt;2028,0,IF((2029-Inputs!$B$9)&gt;2040,Inputs!$B$86*(1+Inputs!$B$87)^((2029-Inputs!$B$9)-2040),_xlfn.IFS((2029-Inputs!$B$9)=2028,Inputs!$B$74,(2029-Inputs!$B$9)=2029,Inputs!$B$75,(2029-Inputs!$B$9)=2030,Inputs!$B$76,(2029-Inputs!$B$9)=2031,Inputs!$B$77,(2029-Inputs!$B$9)=2032,Inputs!$B$78,(2029-Inputs!$B$9)=2033,Inputs!$B$79,(2029-Inputs!$B$9)=2034,Inputs!$B$80,(2029-Inputs!$B$9)=2035,Inputs!$B$81,(2029-Inputs!$B$9)=2036,Inputs!$B$82,(2029-Inputs!$B$9)=2037,Inputs!$B$83,(2029-Inputs!$B$9)=2038,Inputs!$B$84,(2029-Inputs!$B$9)=2039,Inputs!$B$85,(2029-Inputs!$B$9)=2040,Inputs!$B$86)))</f>
        <v>86.54</v>
      </c>
      <c r="H25" s="35" t="n">
        <f aca="false">IF((2030-Inputs!$B$9)&lt;2028,0,IF((2030-Inputs!$B$9)&gt;2040,Inputs!$B$86*(1+Inputs!$B$87)^((2030-Inputs!$B$9)-2040),_xlfn.IFS((2030-Inputs!$B$9)=2028,Inputs!$B$74,(2030-Inputs!$B$9)=2029,Inputs!$B$75,(2030-Inputs!$B$9)=2030,Inputs!$B$76,(2030-Inputs!$B$9)=2031,Inputs!$B$77,(2030-Inputs!$B$9)=2032,Inputs!$B$78,(2030-Inputs!$B$9)=2033,Inputs!$B$79,(2030-Inputs!$B$9)=2034,Inputs!$B$80,(2030-Inputs!$B$9)=2035,Inputs!$B$81,(2030-Inputs!$B$9)=2036,Inputs!$B$82,(2030-Inputs!$B$9)=2037,Inputs!$B$83,(2030-Inputs!$B$9)=2038,Inputs!$B$84,(2030-Inputs!$B$9)=2039,Inputs!$B$85,(2030-Inputs!$B$9)=2040,Inputs!$B$86)))</f>
        <v>90.42</v>
      </c>
      <c r="I25" s="35" t="n">
        <f aca="false">IF((2031-Inputs!$B$9)&lt;2028,0,IF((2031-Inputs!$B$9)&gt;2040,Inputs!$B$86*(1+Inputs!$B$87)^((2031-Inputs!$B$9)-2040),_xlfn.IFS((2031-Inputs!$B$9)=2028,Inputs!$B$74,(2031-Inputs!$B$9)=2029,Inputs!$B$75,(2031-Inputs!$B$9)=2030,Inputs!$B$76,(2031-Inputs!$B$9)=2031,Inputs!$B$77,(2031-Inputs!$B$9)=2032,Inputs!$B$78,(2031-Inputs!$B$9)=2033,Inputs!$B$79,(2031-Inputs!$B$9)=2034,Inputs!$B$80,(2031-Inputs!$B$9)=2035,Inputs!$B$81,(2031-Inputs!$B$9)=2036,Inputs!$B$82,(2031-Inputs!$B$9)=2037,Inputs!$B$83,(2031-Inputs!$B$9)=2038,Inputs!$B$84,(2031-Inputs!$B$9)=2039,Inputs!$B$85,(2031-Inputs!$B$9)=2040,Inputs!$B$86)))</f>
        <v>94.34</v>
      </c>
      <c r="J25" s="35" t="n">
        <f aca="false">IF((2032-Inputs!$B$9)&lt;2028,0,IF((2032-Inputs!$B$9)&gt;2040,Inputs!$B$86*(1+Inputs!$B$87)^((2032-Inputs!$B$9)-2040),_xlfn.IFS((2032-Inputs!$B$9)=2028,Inputs!$B$74,(2032-Inputs!$B$9)=2029,Inputs!$B$75,(2032-Inputs!$B$9)=2030,Inputs!$B$76,(2032-Inputs!$B$9)=2031,Inputs!$B$77,(2032-Inputs!$B$9)=2032,Inputs!$B$78,(2032-Inputs!$B$9)=2033,Inputs!$B$79,(2032-Inputs!$B$9)=2034,Inputs!$B$80,(2032-Inputs!$B$9)=2035,Inputs!$B$81,(2032-Inputs!$B$9)=2036,Inputs!$B$82,(2032-Inputs!$B$9)=2037,Inputs!$B$83,(2032-Inputs!$B$9)=2038,Inputs!$B$84,(2032-Inputs!$B$9)=2039,Inputs!$B$85,(2032-Inputs!$B$9)=2040,Inputs!$B$86)))</f>
        <v>104.9</v>
      </c>
      <c r="K25" s="35" t="n">
        <f aca="false">IF((2033-Inputs!$B$9)&lt;2028,0,IF((2033-Inputs!$B$9)&gt;2040,Inputs!$B$86*(1+Inputs!$B$87)^((2033-Inputs!$B$9)-2040),_xlfn.IFS((2033-Inputs!$B$9)=2028,Inputs!$B$74,(2033-Inputs!$B$9)=2029,Inputs!$B$75,(2033-Inputs!$B$9)=2030,Inputs!$B$76,(2033-Inputs!$B$9)=2031,Inputs!$B$77,(2033-Inputs!$B$9)=2032,Inputs!$B$78,(2033-Inputs!$B$9)=2033,Inputs!$B$79,(2033-Inputs!$B$9)=2034,Inputs!$B$80,(2033-Inputs!$B$9)=2035,Inputs!$B$81,(2033-Inputs!$B$9)=2036,Inputs!$B$82,(2033-Inputs!$B$9)=2037,Inputs!$B$83,(2033-Inputs!$B$9)=2038,Inputs!$B$84,(2033-Inputs!$B$9)=2039,Inputs!$B$85,(2033-Inputs!$B$9)=2040,Inputs!$B$86)))</f>
        <v>111.25</v>
      </c>
      <c r="L25" s="35" t="n">
        <f aca="false">IF((2034-Inputs!$B$9)&lt;2028,0,IF((2034-Inputs!$B$9)&gt;2040,Inputs!$B$86*(1+Inputs!$B$87)^((2034-Inputs!$B$9)-2040),_xlfn.IFS((2034-Inputs!$B$9)=2028,Inputs!$B$74,(2034-Inputs!$B$9)=2029,Inputs!$B$75,(2034-Inputs!$B$9)=2030,Inputs!$B$76,(2034-Inputs!$B$9)=2031,Inputs!$B$77,(2034-Inputs!$B$9)=2032,Inputs!$B$78,(2034-Inputs!$B$9)=2033,Inputs!$B$79,(2034-Inputs!$B$9)=2034,Inputs!$B$80,(2034-Inputs!$B$9)=2035,Inputs!$B$81,(2034-Inputs!$B$9)=2036,Inputs!$B$82,(2034-Inputs!$B$9)=2037,Inputs!$B$83,(2034-Inputs!$B$9)=2038,Inputs!$B$84,(2034-Inputs!$B$9)=2039,Inputs!$B$85,(2034-Inputs!$B$9)=2040,Inputs!$B$86)))</f>
        <v>118.05</v>
      </c>
      <c r="M25" s="35" t="n">
        <f aca="false">IF((2035-Inputs!$B$9)&lt;2028,0,IF((2035-Inputs!$B$9)&gt;2040,Inputs!$B$86*(1+Inputs!$B$87)^((2035-Inputs!$B$9)-2040),_xlfn.IFS((2035-Inputs!$B$9)=2028,Inputs!$B$74,(2035-Inputs!$B$9)=2029,Inputs!$B$75,(2035-Inputs!$B$9)=2030,Inputs!$B$76,(2035-Inputs!$B$9)=2031,Inputs!$B$77,(2035-Inputs!$B$9)=2032,Inputs!$B$78,(2035-Inputs!$B$9)=2033,Inputs!$B$79,(2035-Inputs!$B$9)=2034,Inputs!$B$80,(2035-Inputs!$B$9)=2035,Inputs!$B$81,(2035-Inputs!$B$9)=2036,Inputs!$B$82,(2035-Inputs!$B$9)=2037,Inputs!$B$83,(2035-Inputs!$B$9)=2038,Inputs!$B$84,(2035-Inputs!$B$9)=2039,Inputs!$B$85,(2035-Inputs!$B$9)=2040,Inputs!$B$86)))</f>
        <v>131.42</v>
      </c>
      <c r="N25" s="35" t="n">
        <f aca="false">IF((2036-Inputs!$B$9)&lt;2028,0,IF((2036-Inputs!$B$9)&gt;2040,Inputs!$B$86*(1+Inputs!$B$87)^((2036-Inputs!$B$9)-2040),_xlfn.IFS((2036-Inputs!$B$9)=2028,Inputs!$B$74,(2036-Inputs!$B$9)=2029,Inputs!$B$75,(2036-Inputs!$B$9)=2030,Inputs!$B$76,(2036-Inputs!$B$9)=2031,Inputs!$B$77,(2036-Inputs!$B$9)=2032,Inputs!$B$78,(2036-Inputs!$B$9)=2033,Inputs!$B$79,(2036-Inputs!$B$9)=2034,Inputs!$B$80,(2036-Inputs!$B$9)=2035,Inputs!$B$81,(2036-Inputs!$B$9)=2036,Inputs!$B$82,(2036-Inputs!$B$9)=2037,Inputs!$B$83,(2036-Inputs!$B$9)=2038,Inputs!$B$84,(2036-Inputs!$B$9)=2039,Inputs!$B$85,(2036-Inputs!$B$9)=2040,Inputs!$B$86)))</f>
        <v>138.21</v>
      </c>
      <c r="O25" s="35" t="n">
        <f aca="false">IF((2037-Inputs!$B$9)&lt;2028,0,IF((2037-Inputs!$B$9)&gt;2040,Inputs!$B$86*(1+Inputs!$B$87)^((2037-Inputs!$B$9)-2040),_xlfn.IFS((2037-Inputs!$B$9)=2028,Inputs!$B$74,(2037-Inputs!$B$9)=2029,Inputs!$B$75,(2037-Inputs!$B$9)=2030,Inputs!$B$76,(2037-Inputs!$B$9)=2031,Inputs!$B$77,(2037-Inputs!$B$9)=2032,Inputs!$B$78,(2037-Inputs!$B$9)=2033,Inputs!$B$79,(2037-Inputs!$B$9)=2034,Inputs!$B$80,(2037-Inputs!$B$9)=2035,Inputs!$B$81,(2037-Inputs!$B$9)=2036,Inputs!$B$82,(2037-Inputs!$B$9)=2037,Inputs!$B$83,(2037-Inputs!$B$9)=2038,Inputs!$B$84,(2037-Inputs!$B$9)=2039,Inputs!$B$85,(2037-Inputs!$B$9)=2040,Inputs!$B$86)))</f>
        <v>145.38</v>
      </c>
      <c r="P25" s="35" t="n">
        <f aca="false">IF((2038-Inputs!$B$9)&lt;2028,0,IF((2038-Inputs!$B$9)&gt;2040,Inputs!$B$86*(1+Inputs!$B$87)^((2038-Inputs!$B$9)-2040),_xlfn.IFS((2038-Inputs!$B$9)=2028,Inputs!$B$74,(2038-Inputs!$B$9)=2029,Inputs!$B$75,(2038-Inputs!$B$9)=2030,Inputs!$B$76,(2038-Inputs!$B$9)=2031,Inputs!$B$77,(2038-Inputs!$B$9)=2032,Inputs!$B$78,(2038-Inputs!$B$9)=2033,Inputs!$B$79,(2038-Inputs!$B$9)=2034,Inputs!$B$80,(2038-Inputs!$B$9)=2035,Inputs!$B$81,(2038-Inputs!$B$9)=2036,Inputs!$B$82,(2038-Inputs!$B$9)=2037,Inputs!$B$83,(2038-Inputs!$B$9)=2038,Inputs!$B$84,(2038-Inputs!$B$9)=2039,Inputs!$B$85,(2038-Inputs!$B$9)=2040,Inputs!$B$86)))</f>
        <v>159.79</v>
      </c>
      <c r="Q25" s="35" t="n">
        <f aca="false">IF((2039-Inputs!$B$9)&lt;2028,0,IF((2039-Inputs!$B$9)&gt;2040,Inputs!$B$86*(1+Inputs!$B$87)^((2039-Inputs!$B$9)-2040),_xlfn.IFS((2039-Inputs!$B$9)=2028,Inputs!$B$74,(2039-Inputs!$B$9)=2029,Inputs!$B$75,(2039-Inputs!$B$9)=2030,Inputs!$B$76,(2039-Inputs!$B$9)=2031,Inputs!$B$77,(2039-Inputs!$B$9)=2032,Inputs!$B$78,(2039-Inputs!$B$9)=2033,Inputs!$B$79,(2039-Inputs!$B$9)=2034,Inputs!$B$80,(2039-Inputs!$B$9)=2035,Inputs!$B$81,(2039-Inputs!$B$9)=2036,Inputs!$B$82,(2039-Inputs!$B$9)=2037,Inputs!$B$83,(2039-Inputs!$B$9)=2038,Inputs!$B$84,(2039-Inputs!$B$9)=2039,Inputs!$B$85,(2039-Inputs!$B$9)=2040,Inputs!$B$86)))</f>
        <v>167.46</v>
      </c>
      <c r="R25" s="35" t="n">
        <f aca="false">IF((2040-Inputs!$B$9)&lt;2028,0,IF((2040-Inputs!$B$9)&gt;2040,Inputs!$B$86*(1+Inputs!$B$87)^((2040-Inputs!$B$9)-2040),_xlfn.IFS((2040-Inputs!$B$9)=2028,Inputs!$B$74,(2040-Inputs!$B$9)=2029,Inputs!$B$75,(2040-Inputs!$B$9)=2030,Inputs!$B$76,(2040-Inputs!$B$9)=2031,Inputs!$B$77,(2040-Inputs!$B$9)=2032,Inputs!$B$78,(2040-Inputs!$B$9)=2033,Inputs!$B$79,(2040-Inputs!$B$9)=2034,Inputs!$B$80,(2040-Inputs!$B$9)=2035,Inputs!$B$81,(2040-Inputs!$B$9)=2036,Inputs!$B$82,(2040-Inputs!$B$9)=2037,Inputs!$B$83,(2040-Inputs!$B$9)=2038,Inputs!$B$84,(2040-Inputs!$B$9)=2039,Inputs!$B$85,(2040-Inputs!$B$9)=2040,Inputs!$B$86)))</f>
        <v>175.52</v>
      </c>
      <c r="S25" s="35" t="n">
        <f aca="false">IF((2041-Inputs!$B$9)&lt;2028,0,IF((2041-Inputs!$B$9)&gt;2040,Inputs!$B$86*(1+Inputs!$B$87)^((2041-Inputs!$B$9)-2040),_xlfn.IFS((2041-Inputs!$B$9)=2028,Inputs!$B$74,(2041-Inputs!$B$9)=2029,Inputs!$B$75,(2041-Inputs!$B$9)=2030,Inputs!$B$76,(2041-Inputs!$B$9)=2031,Inputs!$B$77,(2041-Inputs!$B$9)=2032,Inputs!$B$78,(2041-Inputs!$B$9)=2033,Inputs!$B$79,(2041-Inputs!$B$9)=2034,Inputs!$B$80,(2041-Inputs!$B$9)=2035,Inputs!$B$81,(2041-Inputs!$B$9)=2036,Inputs!$B$82,(2041-Inputs!$B$9)=2037,Inputs!$B$83,(2041-Inputs!$B$9)=2038,Inputs!$B$84,(2041-Inputs!$B$9)=2039,Inputs!$B$85,(2041-Inputs!$B$9)=2040,Inputs!$B$86)))</f>
        <v>179.908</v>
      </c>
      <c r="T25" s="35" t="n">
        <f aca="false">IF((2042-Inputs!$B$9)&lt;2028,0,IF((2042-Inputs!$B$9)&gt;2040,Inputs!$B$86*(1+Inputs!$B$87)^((2042-Inputs!$B$9)-2040),_xlfn.IFS((2042-Inputs!$B$9)=2028,Inputs!$B$74,(2042-Inputs!$B$9)=2029,Inputs!$B$75,(2042-Inputs!$B$9)=2030,Inputs!$B$76,(2042-Inputs!$B$9)=2031,Inputs!$B$77,(2042-Inputs!$B$9)=2032,Inputs!$B$78,(2042-Inputs!$B$9)=2033,Inputs!$B$79,(2042-Inputs!$B$9)=2034,Inputs!$B$80,(2042-Inputs!$B$9)=2035,Inputs!$B$81,(2042-Inputs!$B$9)=2036,Inputs!$B$82,(2042-Inputs!$B$9)=2037,Inputs!$B$83,(2042-Inputs!$B$9)=2038,Inputs!$B$84,(2042-Inputs!$B$9)=2039,Inputs!$B$85,(2042-Inputs!$B$9)=2040,Inputs!$B$86)))</f>
        <v>184.4057</v>
      </c>
      <c r="U25" s="35" t="n">
        <f aca="false">IF((2043-Inputs!$B$9)&lt;2028,0,IF((2043-Inputs!$B$9)&gt;2040,Inputs!$B$86*(1+Inputs!$B$87)^((2043-Inputs!$B$9)-2040),_xlfn.IFS((2043-Inputs!$B$9)=2028,Inputs!$B$74,(2043-Inputs!$B$9)=2029,Inputs!$B$75,(2043-Inputs!$B$9)=2030,Inputs!$B$76,(2043-Inputs!$B$9)=2031,Inputs!$B$77,(2043-Inputs!$B$9)=2032,Inputs!$B$78,(2043-Inputs!$B$9)=2033,Inputs!$B$79,(2043-Inputs!$B$9)=2034,Inputs!$B$80,(2043-Inputs!$B$9)=2035,Inputs!$B$81,(2043-Inputs!$B$9)=2036,Inputs!$B$82,(2043-Inputs!$B$9)=2037,Inputs!$B$83,(2043-Inputs!$B$9)=2038,Inputs!$B$84,(2043-Inputs!$B$9)=2039,Inputs!$B$85,(2043-Inputs!$B$9)=2040,Inputs!$B$86)))</f>
        <v>189.0158425</v>
      </c>
      <c r="V25" s="35" t="n">
        <f aca="false">IF((2044-Inputs!$B$9)&lt;2028,0,IF((2044-Inputs!$B$9)&gt;2040,Inputs!$B$86*(1+Inputs!$B$87)^((2044-Inputs!$B$9)-2040),_xlfn.IFS((2044-Inputs!$B$9)=2028,Inputs!$B$74,(2044-Inputs!$B$9)=2029,Inputs!$B$75,(2044-Inputs!$B$9)=2030,Inputs!$B$76,(2044-Inputs!$B$9)=2031,Inputs!$B$77,(2044-Inputs!$B$9)=2032,Inputs!$B$78,(2044-Inputs!$B$9)=2033,Inputs!$B$79,(2044-Inputs!$B$9)=2034,Inputs!$B$80,(2044-Inputs!$B$9)=2035,Inputs!$B$81,(2044-Inputs!$B$9)=2036,Inputs!$B$82,(2044-Inputs!$B$9)=2037,Inputs!$B$83,(2044-Inputs!$B$9)=2038,Inputs!$B$84,(2044-Inputs!$B$9)=2039,Inputs!$B$85,(2044-Inputs!$B$9)=2040,Inputs!$B$86)))</f>
        <v>193.7412385625</v>
      </c>
      <c r="W25" s="35" t="n">
        <f aca="false">IF((2045-Inputs!$B$9)&lt;2028,0,IF((2045-Inputs!$B$9)&gt;2040,Inputs!$B$86*(1+Inputs!$B$87)^((2045-Inputs!$B$9)-2040),_xlfn.IFS((2045-Inputs!$B$9)=2028,Inputs!$B$74,(2045-Inputs!$B$9)=2029,Inputs!$B$75,(2045-Inputs!$B$9)=2030,Inputs!$B$76,(2045-Inputs!$B$9)=2031,Inputs!$B$77,(2045-Inputs!$B$9)=2032,Inputs!$B$78,(2045-Inputs!$B$9)=2033,Inputs!$B$79,(2045-Inputs!$B$9)=2034,Inputs!$B$80,(2045-Inputs!$B$9)=2035,Inputs!$B$81,(2045-Inputs!$B$9)=2036,Inputs!$B$82,(2045-Inputs!$B$9)=2037,Inputs!$B$83,(2045-Inputs!$B$9)=2038,Inputs!$B$84,(2045-Inputs!$B$9)=2039,Inputs!$B$85,(2045-Inputs!$B$9)=2040,Inputs!$B$86)))</f>
        <v>198.584769526562</v>
      </c>
      <c r="X25" s="35" t="n">
        <f aca="false">IF((2046-Inputs!$B$9)&lt;2028,0,IF((2046-Inputs!$B$9)&gt;2040,Inputs!$B$86*(1+Inputs!$B$87)^((2046-Inputs!$B$9)-2040),_xlfn.IFS((2046-Inputs!$B$9)=2028,Inputs!$B$74,(2046-Inputs!$B$9)=2029,Inputs!$B$75,(2046-Inputs!$B$9)=2030,Inputs!$B$76,(2046-Inputs!$B$9)=2031,Inputs!$B$77,(2046-Inputs!$B$9)=2032,Inputs!$B$78,(2046-Inputs!$B$9)=2033,Inputs!$B$79,(2046-Inputs!$B$9)=2034,Inputs!$B$80,(2046-Inputs!$B$9)=2035,Inputs!$B$81,(2046-Inputs!$B$9)=2036,Inputs!$B$82,(2046-Inputs!$B$9)=2037,Inputs!$B$83,(2046-Inputs!$B$9)=2038,Inputs!$B$84,(2046-Inputs!$B$9)=2039,Inputs!$B$85,(2046-Inputs!$B$9)=2040,Inputs!$B$86)))</f>
        <v>203.549388764726</v>
      </c>
      <c r="Y25" s="35" t="n">
        <f aca="false">IF((2047-Inputs!$B$9)&lt;2028,0,IF((2047-Inputs!$B$9)&gt;2040,Inputs!$B$86*(1+Inputs!$B$87)^((2047-Inputs!$B$9)-2040),_xlfn.IFS((2047-Inputs!$B$9)=2028,Inputs!$B$74,(2047-Inputs!$B$9)=2029,Inputs!$B$75,(2047-Inputs!$B$9)=2030,Inputs!$B$76,(2047-Inputs!$B$9)=2031,Inputs!$B$77,(2047-Inputs!$B$9)=2032,Inputs!$B$78,(2047-Inputs!$B$9)=2033,Inputs!$B$79,(2047-Inputs!$B$9)=2034,Inputs!$B$80,(2047-Inputs!$B$9)=2035,Inputs!$B$81,(2047-Inputs!$B$9)=2036,Inputs!$B$82,(2047-Inputs!$B$9)=2037,Inputs!$B$83,(2047-Inputs!$B$9)=2038,Inputs!$B$84,(2047-Inputs!$B$9)=2039,Inputs!$B$85,(2047-Inputs!$B$9)=2040,Inputs!$B$86)))</f>
        <v>208.638123483845</v>
      </c>
      <c r="Z25" s="35" t="n">
        <f aca="false">IF((2048-Inputs!$B$9)&lt;2028,0,IF((2048-Inputs!$B$9)&gt;2040,Inputs!$B$86*(1+Inputs!$B$87)^((2048-Inputs!$B$9)-2040),_xlfn.IFS((2048-Inputs!$B$9)=2028,Inputs!$B$74,(2048-Inputs!$B$9)=2029,Inputs!$B$75,(2048-Inputs!$B$9)=2030,Inputs!$B$76,(2048-Inputs!$B$9)=2031,Inputs!$B$77,(2048-Inputs!$B$9)=2032,Inputs!$B$78,(2048-Inputs!$B$9)=2033,Inputs!$B$79,(2048-Inputs!$B$9)=2034,Inputs!$B$80,(2048-Inputs!$B$9)=2035,Inputs!$B$81,(2048-Inputs!$B$9)=2036,Inputs!$B$82,(2048-Inputs!$B$9)=2037,Inputs!$B$83,(2048-Inputs!$B$9)=2038,Inputs!$B$84,(2048-Inputs!$B$9)=2039,Inputs!$B$85,(2048-Inputs!$B$9)=2040,Inputs!$B$86)))</f>
        <v>213.854076570941</v>
      </c>
      <c r="AA25" s="35" t="n">
        <f aca="false">IF((2049-Inputs!$B$9)&lt;2028,0,IF((2049-Inputs!$B$9)&gt;2040,Inputs!$B$86*(1+Inputs!$B$87)^((2049-Inputs!$B$9)-2040),_xlfn.IFS((2049-Inputs!$B$9)=2028,Inputs!$B$74,(2049-Inputs!$B$9)=2029,Inputs!$B$75,(2049-Inputs!$B$9)=2030,Inputs!$B$76,(2049-Inputs!$B$9)=2031,Inputs!$B$77,(2049-Inputs!$B$9)=2032,Inputs!$B$78,(2049-Inputs!$B$9)=2033,Inputs!$B$79,(2049-Inputs!$B$9)=2034,Inputs!$B$80,(2049-Inputs!$B$9)=2035,Inputs!$B$81,(2049-Inputs!$B$9)=2036,Inputs!$B$82,(2049-Inputs!$B$9)=2037,Inputs!$B$83,(2049-Inputs!$B$9)=2038,Inputs!$B$84,(2049-Inputs!$B$9)=2039,Inputs!$B$85,(2049-Inputs!$B$9)=2040,Inputs!$B$86)))</f>
        <v>219.200428485214</v>
      </c>
      <c r="AB25" s="35" t="n">
        <f aca="false">IF((2050-Inputs!$B$9)&lt;2028,0,IF((2050-Inputs!$B$9)&gt;2040,Inputs!$B$86*(1+Inputs!$B$87)^((2050-Inputs!$B$9)-2040),_xlfn.IFS((2050-Inputs!$B$9)=2028,Inputs!$B$74,(2050-Inputs!$B$9)=2029,Inputs!$B$75,(2050-Inputs!$B$9)=2030,Inputs!$B$76,(2050-Inputs!$B$9)=2031,Inputs!$B$77,(2050-Inputs!$B$9)=2032,Inputs!$B$78,(2050-Inputs!$B$9)=2033,Inputs!$B$79,(2050-Inputs!$B$9)=2034,Inputs!$B$80,(2050-Inputs!$B$9)=2035,Inputs!$B$81,(2050-Inputs!$B$9)=2036,Inputs!$B$82,(2050-Inputs!$B$9)=2037,Inputs!$B$83,(2050-Inputs!$B$9)=2038,Inputs!$B$84,(2050-Inputs!$B$9)=2039,Inputs!$B$85,(2050-Inputs!$B$9)=2040,Inputs!$B$86)))</f>
        <v>224.680439197345</v>
      </c>
      <c r="AC25" s="35" t="n">
        <f aca="false">IF((2051-Inputs!$B$9)&lt;2028,0,IF((2051-Inputs!$B$9)&gt;2040,Inputs!$B$86*(1+Inputs!$B$87)^((2051-Inputs!$B$9)-2040),_xlfn.IFS((2051-Inputs!$B$9)=2028,Inputs!$B$74,(2051-Inputs!$B$9)=2029,Inputs!$B$75,(2051-Inputs!$B$9)=2030,Inputs!$B$76,(2051-Inputs!$B$9)=2031,Inputs!$B$77,(2051-Inputs!$B$9)=2032,Inputs!$B$78,(2051-Inputs!$B$9)=2033,Inputs!$B$79,(2051-Inputs!$B$9)=2034,Inputs!$B$80,(2051-Inputs!$B$9)=2035,Inputs!$B$81,(2051-Inputs!$B$9)=2036,Inputs!$B$82,(2051-Inputs!$B$9)=2037,Inputs!$B$83,(2051-Inputs!$B$9)=2038,Inputs!$B$84,(2051-Inputs!$B$9)=2039,Inputs!$B$85,(2051-Inputs!$B$9)=2040,Inputs!$B$86)))</f>
        <v>230.297450177278</v>
      </c>
      <c r="AD25" s="35" t="n">
        <f aca="false">IF((2052-Inputs!$B$9)&lt;2028,0,IF((2052-Inputs!$B$9)&gt;2040,Inputs!$B$86*(1+Inputs!$B$87)^((2052-Inputs!$B$9)-2040),_xlfn.IFS((2052-Inputs!$B$9)=2028,Inputs!$B$74,(2052-Inputs!$B$9)=2029,Inputs!$B$75,(2052-Inputs!$B$9)=2030,Inputs!$B$76,(2052-Inputs!$B$9)=2031,Inputs!$B$77,(2052-Inputs!$B$9)=2032,Inputs!$B$78,(2052-Inputs!$B$9)=2033,Inputs!$B$79,(2052-Inputs!$B$9)=2034,Inputs!$B$80,(2052-Inputs!$B$9)=2035,Inputs!$B$81,(2052-Inputs!$B$9)=2036,Inputs!$B$82,(2052-Inputs!$B$9)=2037,Inputs!$B$83,(2052-Inputs!$B$9)=2038,Inputs!$B$84,(2052-Inputs!$B$9)=2039,Inputs!$B$85,(2052-Inputs!$B$9)=2040,Inputs!$B$86)))</f>
        <v>236.05488643171</v>
      </c>
      <c r="AE25" s="35" t="n">
        <f aca="false">IF((2053-Inputs!$B$9)&lt;2028,0,IF((2053-Inputs!$B$9)&gt;2040,Inputs!$B$86*(1+Inputs!$B$87)^((2053-Inputs!$B$9)-2040),_xlfn.IFS((2053-Inputs!$B$9)=2028,Inputs!$B$74,(2053-Inputs!$B$9)=2029,Inputs!$B$75,(2053-Inputs!$B$9)=2030,Inputs!$B$76,(2053-Inputs!$B$9)=2031,Inputs!$B$77,(2053-Inputs!$B$9)=2032,Inputs!$B$78,(2053-Inputs!$B$9)=2033,Inputs!$B$79,(2053-Inputs!$B$9)=2034,Inputs!$B$80,(2053-Inputs!$B$9)=2035,Inputs!$B$81,(2053-Inputs!$B$9)=2036,Inputs!$B$82,(2053-Inputs!$B$9)=2037,Inputs!$B$83,(2053-Inputs!$B$9)=2038,Inputs!$B$84,(2053-Inputs!$B$9)=2039,Inputs!$B$85,(2053-Inputs!$B$9)=2040,Inputs!$B$86)))</f>
        <v>241.956258592503</v>
      </c>
      <c r="AF25" s="35" t="n">
        <f aca="false">IF((2054-Inputs!$B$9)&lt;2028,0,IF((2054-Inputs!$B$9)&gt;2040,Inputs!$B$86*(1+Inputs!$B$87)^((2054-Inputs!$B$9)-2040),_xlfn.IFS((2054-Inputs!$B$9)=2028,Inputs!$B$74,(2054-Inputs!$B$9)=2029,Inputs!$B$75,(2054-Inputs!$B$9)=2030,Inputs!$B$76,(2054-Inputs!$B$9)=2031,Inputs!$B$77,(2054-Inputs!$B$9)=2032,Inputs!$B$78,(2054-Inputs!$B$9)=2033,Inputs!$B$79,(2054-Inputs!$B$9)=2034,Inputs!$B$80,(2054-Inputs!$B$9)=2035,Inputs!$B$81,(2054-Inputs!$B$9)=2036,Inputs!$B$82,(2054-Inputs!$B$9)=2037,Inputs!$B$83,(2054-Inputs!$B$9)=2038,Inputs!$B$84,(2054-Inputs!$B$9)=2039,Inputs!$B$85,(2054-Inputs!$B$9)=2040,Inputs!$B$86)))</f>
        <v>248.005165057315</v>
      </c>
      <c r="AG25" s="35" t="n">
        <f aca="false">IF((2055-Inputs!$B$9)&lt;2028,0,IF((2055-Inputs!$B$9)&gt;2040,Inputs!$B$86*(1+Inputs!$B$87)^((2055-Inputs!$B$9)-2040),_xlfn.IFS((2055-Inputs!$B$9)=2028,Inputs!$B$74,(2055-Inputs!$B$9)=2029,Inputs!$B$75,(2055-Inputs!$B$9)=2030,Inputs!$B$76,(2055-Inputs!$B$9)=2031,Inputs!$B$77,(2055-Inputs!$B$9)=2032,Inputs!$B$78,(2055-Inputs!$B$9)=2033,Inputs!$B$79,(2055-Inputs!$B$9)=2034,Inputs!$B$80,(2055-Inputs!$B$9)=2035,Inputs!$B$81,(2055-Inputs!$B$9)=2036,Inputs!$B$82,(2055-Inputs!$B$9)=2037,Inputs!$B$83,(2055-Inputs!$B$9)=2038,Inputs!$B$84,(2055-Inputs!$B$9)=2039,Inputs!$B$85,(2055-Inputs!$B$9)=2040,Inputs!$B$86)))</f>
        <v>254.205294183748</v>
      </c>
      <c r="AH25" s="35" t="n">
        <f aca="false">IF((2056-Inputs!$B$9)&lt;2028,0,IF((2056-Inputs!$B$9)&gt;2040,Inputs!$B$86*(1+Inputs!$B$87)^((2056-Inputs!$B$9)-2040),_xlfn.IFS((2056-Inputs!$B$9)=2028,Inputs!$B$74,(2056-Inputs!$B$9)=2029,Inputs!$B$75,(2056-Inputs!$B$9)=2030,Inputs!$B$76,(2056-Inputs!$B$9)=2031,Inputs!$B$77,(2056-Inputs!$B$9)=2032,Inputs!$B$78,(2056-Inputs!$B$9)=2033,Inputs!$B$79,(2056-Inputs!$B$9)=2034,Inputs!$B$80,(2056-Inputs!$B$9)=2035,Inputs!$B$81,(2056-Inputs!$B$9)=2036,Inputs!$B$82,(2056-Inputs!$B$9)=2037,Inputs!$B$83,(2056-Inputs!$B$9)=2038,Inputs!$B$84,(2056-Inputs!$B$9)=2039,Inputs!$B$85,(2056-Inputs!$B$9)=2040,Inputs!$B$86)))</f>
        <v>260.560426538342</v>
      </c>
      <c r="AI25" s="35" t="n">
        <f aca="false">IF((2057-Inputs!$B$9)&lt;2028,0,IF((2057-Inputs!$B$9)&gt;2040,Inputs!$B$86*(1+Inputs!$B$87)^((2057-Inputs!$B$9)-2040),_xlfn.IFS((2057-Inputs!$B$9)=2028,Inputs!$B$74,(2057-Inputs!$B$9)=2029,Inputs!$B$75,(2057-Inputs!$B$9)=2030,Inputs!$B$76,(2057-Inputs!$B$9)=2031,Inputs!$B$77,(2057-Inputs!$B$9)=2032,Inputs!$B$78,(2057-Inputs!$B$9)=2033,Inputs!$B$79,(2057-Inputs!$B$9)=2034,Inputs!$B$80,(2057-Inputs!$B$9)=2035,Inputs!$B$81,(2057-Inputs!$B$9)=2036,Inputs!$B$82,(2057-Inputs!$B$9)=2037,Inputs!$B$83,(2057-Inputs!$B$9)=2038,Inputs!$B$84,(2057-Inputs!$B$9)=2039,Inputs!$B$85,(2057-Inputs!$B$9)=2040,Inputs!$B$86)))</f>
        <v>267.0744372018</v>
      </c>
      <c r="AJ25" s="35" t="n">
        <f aca="false">IF((2058-Inputs!$B$9)&lt;2028,0,IF((2058-Inputs!$B$9)&gt;2040,Inputs!$B$86*(1+Inputs!$B$87)^((2058-Inputs!$B$9)-2040),_xlfn.IFS((2058-Inputs!$B$9)=2028,Inputs!$B$74,(2058-Inputs!$B$9)=2029,Inputs!$B$75,(2058-Inputs!$B$9)=2030,Inputs!$B$76,(2058-Inputs!$B$9)=2031,Inputs!$B$77,(2058-Inputs!$B$9)=2032,Inputs!$B$78,(2058-Inputs!$B$9)=2033,Inputs!$B$79,(2058-Inputs!$B$9)=2034,Inputs!$B$80,(2058-Inputs!$B$9)=2035,Inputs!$B$81,(2058-Inputs!$B$9)=2036,Inputs!$B$82,(2058-Inputs!$B$9)=2037,Inputs!$B$83,(2058-Inputs!$B$9)=2038,Inputs!$B$84,(2058-Inputs!$B$9)=2039,Inputs!$B$85,(2058-Inputs!$B$9)=2040,Inputs!$B$86)))</f>
        <v>273.751298131845</v>
      </c>
      <c r="AK25" s="35" t="n">
        <f aca="false">IF((2059-Inputs!$B$9)&lt;2028,0,IF((2059-Inputs!$B$9)&gt;2040,Inputs!$B$86*(1+Inputs!$B$87)^((2059-Inputs!$B$9)-2040),_xlfn.IFS((2059-Inputs!$B$9)=2028,Inputs!$B$74,(2059-Inputs!$B$9)=2029,Inputs!$B$75,(2059-Inputs!$B$9)=2030,Inputs!$B$76,(2059-Inputs!$B$9)=2031,Inputs!$B$77,(2059-Inputs!$B$9)=2032,Inputs!$B$78,(2059-Inputs!$B$9)=2033,Inputs!$B$79,(2059-Inputs!$B$9)=2034,Inputs!$B$80,(2059-Inputs!$B$9)=2035,Inputs!$B$81,(2059-Inputs!$B$9)=2036,Inputs!$B$82,(2059-Inputs!$B$9)=2037,Inputs!$B$83,(2059-Inputs!$B$9)=2038,Inputs!$B$84,(2059-Inputs!$B$9)=2039,Inputs!$B$85,(2059-Inputs!$B$9)=2040,Inputs!$B$86)))</f>
        <v>280.595080585142</v>
      </c>
      <c r="AL25" s="35" t="n">
        <f aca="false">IF((2060-Inputs!$B$9)&lt;2028,0,IF((2060-Inputs!$B$9)&gt;2040,Inputs!$B$86*(1+Inputs!$B$87)^((2060-Inputs!$B$9)-2040),_xlfn.IFS((2060-Inputs!$B$9)=2028,Inputs!$B$74,(2060-Inputs!$B$9)=2029,Inputs!$B$75,(2060-Inputs!$B$9)=2030,Inputs!$B$76,(2060-Inputs!$B$9)=2031,Inputs!$B$77,(2060-Inputs!$B$9)=2032,Inputs!$B$78,(2060-Inputs!$B$9)=2033,Inputs!$B$79,(2060-Inputs!$B$9)=2034,Inputs!$B$80,(2060-Inputs!$B$9)=2035,Inputs!$B$81,(2060-Inputs!$B$9)=2036,Inputs!$B$82,(2060-Inputs!$B$9)=2037,Inputs!$B$83,(2060-Inputs!$B$9)=2038,Inputs!$B$84,(2060-Inputs!$B$9)=2039,Inputs!$B$85,(2060-Inputs!$B$9)=2040,Inputs!$B$86)))</f>
        <v>287.60995759977</v>
      </c>
      <c r="AM25" s="35" t="n">
        <f aca="false">IF((2061-Inputs!$B$9)&lt;2028,0,IF((2061-Inputs!$B$9)&gt;2040,Inputs!$B$86*(1+Inputs!$B$87)^((2061-Inputs!$B$9)-2040),_xlfn.IFS((2061-Inputs!$B$9)=2028,Inputs!$B$74,(2061-Inputs!$B$9)=2029,Inputs!$B$75,(2061-Inputs!$B$9)=2030,Inputs!$B$76,(2061-Inputs!$B$9)=2031,Inputs!$B$77,(2061-Inputs!$B$9)=2032,Inputs!$B$78,(2061-Inputs!$B$9)=2033,Inputs!$B$79,(2061-Inputs!$B$9)=2034,Inputs!$B$80,(2061-Inputs!$B$9)=2035,Inputs!$B$81,(2061-Inputs!$B$9)=2036,Inputs!$B$82,(2061-Inputs!$B$9)=2037,Inputs!$B$83,(2061-Inputs!$B$9)=2038,Inputs!$B$84,(2061-Inputs!$B$9)=2039,Inputs!$B$85,(2061-Inputs!$B$9)=2040,Inputs!$B$86)))</f>
        <v>294.800206539764</v>
      </c>
      <c r="AN25" s="35" t="n">
        <f aca="false">IF((2062-Inputs!$B$9)&lt;2028,0,IF((2062-Inputs!$B$9)&gt;2040,Inputs!$B$86*(1+Inputs!$B$87)^((2062-Inputs!$B$9)-2040),_xlfn.IFS((2062-Inputs!$B$9)=2028,Inputs!$B$74,(2062-Inputs!$B$9)=2029,Inputs!$B$75,(2062-Inputs!$B$9)=2030,Inputs!$B$76,(2062-Inputs!$B$9)=2031,Inputs!$B$77,(2062-Inputs!$B$9)=2032,Inputs!$B$78,(2062-Inputs!$B$9)=2033,Inputs!$B$79,(2062-Inputs!$B$9)=2034,Inputs!$B$80,(2062-Inputs!$B$9)=2035,Inputs!$B$81,(2062-Inputs!$B$9)=2036,Inputs!$B$82,(2062-Inputs!$B$9)=2037,Inputs!$B$83,(2062-Inputs!$B$9)=2038,Inputs!$B$84,(2062-Inputs!$B$9)=2039,Inputs!$B$85,(2062-Inputs!$B$9)=2040,Inputs!$B$86)))</f>
        <v>302.170211703258</v>
      </c>
      <c r="AO25" s="35" t="n">
        <f aca="false">IF((2063-Inputs!$B$9)&lt;2028,0,IF((2063-Inputs!$B$9)&gt;2040,Inputs!$B$86*(1+Inputs!$B$87)^((2063-Inputs!$B$9)-2040),_xlfn.IFS((2063-Inputs!$B$9)=2028,Inputs!$B$74,(2063-Inputs!$B$9)=2029,Inputs!$B$75,(2063-Inputs!$B$9)=2030,Inputs!$B$76,(2063-Inputs!$B$9)=2031,Inputs!$B$77,(2063-Inputs!$B$9)=2032,Inputs!$B$78,(2063-Inputs!$B$9)=2033,Inputs!$B$79,(2063-Inputs!$B$9)=2034,Inputs!$B$80,(2063-Inputs!$B$9)=2035,Inputs!$B$81,(2063-Inputs!$B$9)=2036,Inputs!$B$82,(2063-Inputs!$B$9)=2037,Inputs!$B$83,(2063-Inputs!$B$9)=2038,Inputs!$B$84,(2063-Inputs!$B$9)=2039,Inputs!$B$85,(2063-Inputs!$B$9)=2040,Inputs!$B$86)))</f>
        <v>309.72446699584</v>
      </c>
      <c r="AP25" s="35" t="n">
        <f aca="false">IF((2064-Inputs!$B$9)&lt;2028,0,IF((2064-Inputs!$B$9)&gt;2040,Inputs!$B$86*(1+Inputs!$B$87)^((2064-Inputs!$B$9)-2040),_xlfn.IFS((2064-Inputs!$B$9)=2028,Inputs!$B$74,(2064-Inputs!$B$9)=2029,Inputs!$B$75,(2064-Inputs!$B$9)=2030,Inputs!$B$76,(2064-Inputs!$B$9)=2031,Inputs!$B$77,(2064-Inputs!$B$9)=2032,Inputs!$B$78,(2064-Inputs!$B$9)=2033,Inputs!$B$79,(2064-Inputs!$B$9)=2034,Inputs!$B$80,(2064-Inputs!$B$9)=2035,Inputs!$B$81,(2064-Inputs!$B$9)=2036,Inputs!$B$82,(2064-Inputs!$B$9)=2037,Inputs!$B$83,(2064-Inputs!$B$9)=2038,Inputs!$B$84,(2064-Inputs!$B$9)=2039,Inputs!$B$85,(2064-Inputs!$B$9)=2040,Inputs!$B$86)))</f>
        <v>317.467578670736</v>
      </c>
      <c r="AQ25" s="35" t="n">
        <f aca="false">IF((2065-Inputs!$B$9)&lt;2028,0,IF((2065-Inputs!$B$9)&gt;2040,Inputs!$B$86*(1+Inputs!$B$87)^((2065-Inputs!$B$9)-2040),_xlfn.IFS((2065-Inputs!$B$9)=2028,Inputs!$B$74,(2065-Inputs!$B$9)=2029,Inputs!$B$75,(2065-Inputs!$B$9)=2030,Inputs!$B$76,(2065-Inputs!$B$9)=2031,Inputs!$B$77,(2065-Inputs!$B$9)=2032,Inputs!$B$78,(2065-Inputs!$B$9)=2033,Inputs!$B$79,(2065-Inputs!$B$9)=2034,Inputs!$B$80,(2065-Inputs!$B$9)=2035,Inputs!$B$81,(2065-Inputs!$B$9)=2036,Inputs!$B$82,(2065-Inputs!$B$9)=2037,Inputs!$B$83,(2065-Inputs!$B$9)=2038,Inputs!$B$84,(2065-Inputs!$B$9)=2039,Inputs!$B$85,(2065-Inputs!$B$9)=2040,Inputs!$B$86)))</f>
        <v>325.404268137504</v>
      </c>
      <c r="AR25" s="35" t="n">
        <f aca="false">IF((2066-Inputs!$B$9)&lt;2028,0,IF((2066-Inputs!$B$9)&gt;2040,Inputs!$B$86*(1+Inputs!$B$87)^((2066-Inputs!$B$9)-2040),_xlfn.IFS((2066-Inputs!$B$9)=2028,Inputs!$B$74,(2066-Inputs!$B$9)=2029,Inputs!$B$75,(2066-Inputs!$B$9)=2030,Inputs!$B$76,(2066-Inputs!$B$9)=2031,Inputs!$B$77,(2066-Inputs!$B$9)=2032,Inputs!$B$78,(2066-Inputs!$B$9)=2033,Inputs!$B$79,(2066-Inputs!$B$9)=2034,Inputs!$B$80,(2066-Inputs!$B$9)=2035,Inputs!$B$81,(2066-Inputs!$B$9)=2036,Inputs!$B$82,(2066-Inputs!$B$9)=2037,Inputs!$B$83,(2066-Inputs!$B$9)=2038,Inputs!$B$84,(2066-Inputs!$B$9)=2039,Inputs!$B$85,(2066-Inputs!$B$9)=2040,Inputs!$B$86)))</f>
        <v>333.539374840942</v>
      </c>
      <c r="AS25" s="35" t="n">
        <f aca="false">IF((2067-Inputs!$B$9)&lt;2028,0,IF((2067-Inputs!$B$9)&gt;2040,Inputs!$B$86*(1+Inputs!$B$87)^((2067-Inputs!$B$9)-2040),_xlfn.IFS((2067-Inputs!$B$9)=2028,Inputs!$B$74,(2067-Inputs!$B$9)=2029,Inputs!$B$75,(2067-Inputs!$B$9)=2030,Inputs!$B$76,(2067-Inputs!$B$9)=2031,Inputs!$B$77,(2067-Inputs!$B$9)=2032,Inputs!$B$78,(2067-Inputs!$B$9)=2033,Inputs!$B$79,(2067-Inputs!$B$9)=2034,Inputs!$B$80,(2067-Inputs!$B$9)=2035,Inputs!$B$81,(2067-Inputs!$B$9)=2036,Inputs!$B$82,(2067-Inputs!$B$9)=2037,Inputs!$B$83,(2067-Inputs!$B$9)=2038,Inputs!$B$84,(2067-Inputs!$B$9)=2039,Inputs!$B$85,(2067-Inputs!$B$9)=2040,Inputs!$B$86)))</f>
        <v>341.877859211965</v>
      </c>
      <c r="AT25" s="35" t="n">
        <f aca="false">IF((2068-Inputs!$B$9)&lt;2028,0,IF((2068-Inputs!$B$9)&gt;2040,Inputs!$B$86*(1+Inputs!$B$87)^((2068-Inputs!$B$9)-2040),_xlfn.IFS((2068-Inputs!$B$9)=2028,Inputs!$B$74,(2068-Inputs!$B$9)=2029,Inputs!$B$75,(2068-Inputs!$B$9)=2030,Inputs!$B$76,(2068-Inputs!$B$9)=2031,Inputs!$B$77,(2068-Inputs!$B$9)=2032,Inputs!$B$78,(2068-Inputs!$B$9)=2033,Inputs!$B$79,(2068-Inputs!$B$9)=2034,Inputs!$B$80,(2068-Inputs!$B$9)=2035,Inputs!$B$81,(2068-Inputs!$B$9)=2036,Inputs!$B$82,(2068-Inputs!$B$9)=2037,Inputs!$B$83,(2068-Inputs!$B$9)=2038,Inputs!$B$84,(2068-Inputs!$B$9)=2039,Inputs!$B$85,(2068-Inputs!$B$9)=2040,Inputs!$B$86)))</f>
        <v>350.424805692264</v>
      </c>
      <c r="AU25" s="35" t="n">
        <f aca="false">IF((2069-Inputs!$B$9)&lt;2028,0,IF((2069-Inputs!$B$9)&gt;2040,Inputs!$B$86*(1+Inputs!$B$87)^((2069-Inputs!$B$9)-2040),_xlfn.IFS((2069-Inputs!$B$9)=2028,Inputs!$B$74,(2069-Inputs!$B$9)=2029,Inputs!$B$75,(2069-Inputs!$B$9)=2030,Inputs!$B$76,(2069-Inputs!$B$9)=2031,Inputs!$B$77,(2069-Inputs!$B$9)=2032,Inputs!$B$78,(2069-Inputs!$B$9)=2033,Inputs!$B$79,(2069-Inputs!$B$9)=2034,Inputs!$B$80,(2069-Inputs!$B$9)=2035,Inputs!$B$81,(2069-Inputs!$B$9)=2036,Inputs!$B$82,(2069-Inputs!$B$9)=2037,Inputs!$B$83,(2069-Inputs!$B$9)=2038,Inputs!$B$84,(2069-Inputs!$B$9)=2039,Inputs!$B$85,(2069-Inputs!$B$9)=2040,Inputs!$B$86)))</f>
        <v>359.185425834571</v>
      </c>
      <c r="AV25" s="35" t="n">
        <f aca="false">IF((2070-Inputs!$B$9)&lt;2028,0,IF((2070-Inputs!$B$9)&gt;2040,Inputs!$B$86*(1+Inputs!$B$87)^((2070-Inputs!$B$9)-2040),_xlfn.IFS((2070-Inputs!$B$9)=2028,Inputs!$B$74,(2070-Inputs!$B$9)=2029,Inputs!$B$75,(2070-Inputs!$B$9)=2030,Inputs!$B$76,(2070-Inputs!$B$9)=2031,Inputs!$B$77,(2070-Inputs!$B$9)=2032,Inputs!$B$78,(2070-Inputs!$B$9)=2033,Inputs!$B$79,(2070-Inputs!$B$9)=2034,Inputs!$B$80,(2070-Inputs!$B$9)=2035,Inputs!$B$81,(2070-Inputs!$B$9)=2036,Inputs!$B$82,(2070-Inputs!$B$9)=2037,Inputs!$B$83,(2070-Inputs!$B$9)=2038,Inputs!$B$84,(2070-Inputs!$B$9)=2039,Inputs!$B$85,(2070-Inputs!$B$9)=2040,Inputs!$B$86)))</f>
        <v>368.165061480435</v>
      </c>
      <c r="AW25" s="35" t="n">
        <f aca="false">IF((2071-Inputs!$B$9)&lt;2028,0,IF((2071-Inputs!$B$9)&gt;2040,Inputs!$B$86*(1+Inputs!$B$87)^((2071-Inputs!$B$9)-2040),_xlfn.IFS((2071-Inputs!$B$9)=2028,Inputs!$B$74,(2071-Inputs!$B$9)=2029,Inputs!$B$75,(2071-Inputs!$B$9)=2030,Inputs!$B$76,(2071-Inputs!$B$9)=2031,Inputs!$B$77,(2071-Inputs!$B$9)=2032,Inputs!$B$78,(2071-Inputs!$B$9)=2033,Inputs!$B$79,(2071-Inputs!$B$9)=2034,Inputs!$B$80,(2071-Inputs!$B$9)=2035,Inputs!$B$81,(2071-Inputs!$B$9)=2036,Inputs!$B$82,(2071-Inputs!$B$9)=2037,Inputs!$B$83,(2071-Inputs!$B$9)=2038,Inputs!$B$84,(2071-Inputs!$B$9)=2039,Inputs!$B$85,(2071-Inputs!$B$9)=2040,Inputs!$B$86)))</f>
        <v>377.369188017446</v>
      </c>
      <c r="AX25" s="35" t="n">
        <f aca="false">IF((2072-Inputs!$B$9)&lt;2028,0,IF((2072-Inputs!$B$9)&gt;2040,Inputs!$B$86*(1+Inputs!$B$87)^((2072-Inputs!$B$9)-2040),_xlfn.IFS((2072-Inputs!$B$9)=2028,Inputs!$B$74,(2072-Inputs!$B$9)=2029,Inputs!$B$75,(2072-Inputs!$B$9)=2030,Inputs!$B$76,(2072-Inputs!$B$9)=2031,Inputs!$B$77,(2072-Inputs!$B$9)=2032,Inputs!$B$78,(2072-Inputs!$B$9)=2033,Inputs!$B$79,(2072-Inputs!$B$9)=2034,Inputs!$B$80,(2072-Inputs!$B$9)=2035,Inputs!$B$81,(2072-Inputs!$B$9)=2036,Inputs!$B$82,(2072-Inputs!$B$9)=2037,Inputs!$B$83,(2072-Inputs!$B$9)=2038,Inputs!$B$84,(2072-Inputs!$B$9)=2039,Inputs!$B$85,(2072-Inputs!$B$9)=2040,Inputs!$B$86)))</f>
        <v>386.803417717882</v>
      </c>
      <c r="AY25" s="35" t="n">
        <f aca="false">IF((2073-Inputs!$B$9)&lt;2028,0,IF((2073-Inputs!$B$9)&gt;2040,Inputs!$B$86*(1+Inputs!$B$87)^((2073-Inputs!$B$9)-2040),_xlfn.IFS((2073-Inputs!$B$9)=2028,Inputs!$B$74,(2073-Inputs!$B$9)=2029,Inputs!$B$75,(2073-Inputs!$B$9)=2030,Inputs!$B$76,(2073-Inputs!$B$9)=2031,Inputs!$B$77,(2073-Inputs!$B$9)=2032,Inputs!$B$78,(2073-Inputs!$B$9)=2033,Inputs!$B$79,(2073-Inputs!$B$9)=2034,Inputs!$B$80,(2073-Inputs!$B$9)=2035,Inputs!$B$81,(2073-Inputs!$B$9)=2036,Inputs!$B$82,(2073-Inputs!$B$9)=2037,Inputs!$B$83,(2073-Inputs!$B$9)=2038,Inputs!$B$84,(2073-Inputs!$B$9)=2039,Inputs!$B$85,(2073-Inputs!$B$9)=2040,Inputs!$B$86)))</f>
        <v>396.473503160829</v>
      </c>
      <c r="AZ25" s="35" t="n">
        <f aca="false">IF((2074-Inputs!$B$9)&lt;2028,0,IF((2074-Inputs!$B$9)&gt;2040,Inputs!$B$86*(1+Inputs!$B$87)^((2074-Inputs!$B$9)-2040),_xlfn.IFS((2074-Inputs!$B$9)=2028,Inputs!$B$74,(2074-Inputs!$B$9)=2029,Inputs!$B$75,(2074-Inputs!$B$9)=2030,Inputs!$B$76,(2074-Inputs!$B$9)=2031,Inputs!$B$77,(2074-Inputs!$B$9)=2032,Inputs!$B$78,(2074-Inputs!$B$9)=2033,Inputs!$B$79,(2074-Inputs!$B$9)=2034,Inputs!$B$80,(2074-Inputs!$B$9)=2035,Inputs!$B$81,(2074-Inputs!$B$9)=2036,Inputs!$B$82,(2074-Inputs!$B$9)=2037,Inputs!$B$83,(2074-Inputs!$B$9)=2038,Inputs!$B$84,(2074-Inputs!$B$9)=2039,Inputs!$B$85,(2074-Inputs!$B$9)=2040,Inputs!$B$86)))</f>
        <v>406.38534073985</v>
      </c>
    </row>
    <row r="26" customFormat="false" ht="15" hidden="false" customHeight="false" outlineLevel="0" collapsed="false">
      <c r="A26" s="34" t="s">
        <v>134</v>
      </c>
      <c r="D26" s="35" t="n">
        <f aca="false">IF((2026-Inputs!$B$9)&lt;2028,0,IF((2026-Inputs!$B$9)&gt;2040,Inputs!$B$101*(1+Inputs!$B$87)^((2026-Inputs!$B$9)-2040),_xlfn.IFS((2026-Inputs!$B$9)=2028,Inputs!$B$89,(2026-Inputs!$B$9)=2029,Inputs!$B$90,(2026-Inputs!$B$9)=2030,Inputs!$B$91,(2026-Inputs!$B$9)=2031,Inputs!$B$92,(2026-Inputs!$B$9)=2032,Inputs!$B$93,(2026-Inputs!$B$9)=2033,Inputs!$B$94,(2026-Inputs!$B$9)=2034,Inputs!$B$95,(2026-Inputs!$B$9)=2035,Inputs!$B$96,(2026-Inputs!$B$9)=2036,Inputs!$B$97,(2026-Inputs!$B$9)=2037,Inputs!$B$98,(2026-Inputs!$B$9)=2038,Inputs!$B$99,(2026-Inputs!$B$9)=2039,Inputs!$B$100,(2026-Inputs!$B$9)=2040,Inputs!$B$101)))</f>
        <v>0</v>
      </c>
      <c r="E26" s="35" t="n">
        <f aca="false">IF((2027-Inputs!$B$9)&lt;2028,0,IF((2027-Inputs!$B$9)&gt;2040,Inputs!$B$101*(1+Inputs!$B$87)^((2027-Inputs!$B$9)-2040),_xlfn.IFS((2027-Inputs!$B$9)=2028,Inputs!$B$89,(2027-Inputs!$B$9)=2029,Inputs!$B$90,(2027-Inputs!$B$9)=2030,Inputs!$B$91,(2027-Inputs!$B$9)=2031,Inputs!$B$92,(2027-Inputs!$B$9)=2032,Inputs!$B$93,(2027-Inputs!$B$9)=2033,Inputs!$B$94,(2027-Inputs!$B$9)=2034,Inputs!$B$95,(2027-Inputs!$B$9)=2035,Inputs!$B$96,(2027-Inputs!$B$9)=2036,Inputs!$B$97,(2027-Inputs!$B$9)=2037,Inputs!$B$98,(2027-Inputs!$B$9)=2038,Inputs!$B$99,(2027-Inputs!$B$9)=2039,Inputs!$B$100,(2027-Inputs!$B$9)=2040,Inputs!$B$101)))</f>
        <v>0</v>
      </c>
      <c r="F26" s="35" t="n">
        <f aca="false">IF((2028-Inputs!$B$9)&lt;2028,0,IF((2028-Inputs!$B$9)&gt;2040,Inputs!$B$101*(1+Inputs!$B$87)^((2028-Inputs!$B$9)-2040),_xlfn.IFS((2028-Inputs!$B$9)=2028,Inputs!$B$89,(2028-Inputs!$B$9)=2029,Inputs!$B$90,(2028-Inputs!$B$9)=2030,Inputs!$B$91,(2028-Inputs!$B$9)=2031,Inputs!$B$92,(2028-Inputs!$B$9)=2032,Inputs!$B$93,(2028-Inputs!$B$9)=2033,Inputs!$B$94,(2028-Inputs!$B$9)=2034,Inputs!$B$95,(2028-Inputs!$B$9)=2035,Inputs!$B$96,(2028-Inputs!$B$9)=2036,Inputs!$B$97,(2028-Inputs!$B$9)=2037,Inputs!$B$98,(2028-Inputs!$B$9)=2038,Inputs!$B$99,(2028-Inputs!$B$9)=2039,Inputs!$B$100,(2028-Inputs!$B$9)=2040,Inputs!$B$101)))</f>
        <v>104.328</v>
      </c>
      <c r="G26" s="35" t="n">
        <f aca="false">IF((2029-Inputs!$B$9)&lt;2028,0,IF((2029-Inputs!$B$9)&gt;2040,Inputs!$B$101*(1+Inputs!$B$87)^((2029-Inputs!$B$9)-2040),_xlfn.IFS((2029-Inputs!$B$9)=2028,Inputs!$B$89,(2029-Inputs!$B$9)=2029,Inputs!$B$90,(2029-Inputs!$B$9)=2030,Inputs!$B$91,(2029-Inputs!$B$9)=2031,Inputs!$B$92,(2029-Inputs!$B$9)=2032,Inputs!$B$93,(2029-Inputs!$B$9)=2033,Inputs!$B$94,(2029-Inputs!$B$9)=2034,Inputs!$B$95,(2029-Inputs!$B$9)=2035,Inputs!$B$96,(2029-Inputs!$B$9)=2036,Inputs!$B$97,(2029-Inputs!$B$9)=2037,Inputs!$B$98,(2029-Inputs!$B$9)=2038,Inputs!$B$99,(2029-Inputs!$B$9)=2039,Inputs!$B$100,(2029-Inputs!$B$9)=2040,Inputs!$B$101)))</f>
        <v>110.519</v>
      </c>
      <c r="H26" s="35" t="n">
        <f aca="false">IF((2030-Inputs!$B$9)&lt;2028,0,IF((2030-Inputs!$B$9)&gt;2040,Inputs!$B$101*(1+Inputs!$B$87)^((2030-Inputs!$B$9)-2040),_xlfn.IFS((2030-Inputs!$B$9)=2028,Inputs!$B$89,(2030-Inputs!$B$9)=2029,Inputs!$B$90,(2030-Inputs!$B$9)=2030,Inputs!$B$91,(2030-Inputs!$B$9)=2031,Inputs!$B$92,(2030-Inputs!$B$9)=2032,Inputs!$B$93,(2030-Inputs!$B$9)=2033,Inputs!$B$94,(2030-Inputs!$B$9)=2034,Inputs!$B$95,(2030-Inputs!$B$9)=2035,Inputs!$B$96,(2030-Inputs!$B$9)=2036,Inputs!$B$97,(2030-Inputs!$B$9)=2037,Inputs!$B$98,(2030-Inputs!$B$9)=2038,Inputs!$B$99,(2030-Inputs!$B$9)=2039,Inputs!$B$100,(2030-Inputs!$B$9)=2040,Inputs!$B$101)))</f>
        <v>115.216</v>
      </c>
      <c r="I26" s="35" t="n">
        <f aca="false">IF((2031-Inputs!$B$9)&lt;2028,0,IF((2031-Inputs!$B$9)&gt;2040,Inputs!$B$101*(1+Inputs!$B$87)^((2031-Inputs!$B$9)-2040),_xlfn.IFS((2031-Inputs!$B$9)=2028,Inputs!$B$89,(2031-Inputs!$B$9)=2029,Inputs!$B$90,(2031-Inputs!$B$9)=2030,Inputs!$B$91,(2031-Inputs!$B$9)=2031,Inputs!$B$92,(2031-Inputs!$B$9)=2032,Inputs!$B$93,(2031-Inputs!$B$9)=2033,Inputs!$B$94,(2031-Inputs!$B$9)=2034,Inputs!$B$95,(2031-Inputs!$B$9)=2035,Inputs!$B$96,(2031-Inputs!$B$9)=2036,Inputs!$B$97,(2031-Inputs!$B$9)=2037,Inputs!$B$98,(2031-Inputs!$B$9)=2038,Inputs!$B$99,(2031-Inputs!$B$9)=2039,Inputs!$B$100,(2031-Inputs!$B$9)=2040,Inputs!$B$101)))</f>
        <v>119.075</v>
      </c>
      <c r="J26" s="35" t="n">
        <f aca="false">IF((2032-Inputs!$B$9)&lt;2028,0,IF((2032-Inputs!$B$9)&gt;2040,Inputs!$B$101*(1+Inputs!$B$87)^((2032-Inputs!$B$9)-2040),_xlfn.IFS((2032-Inputs!$B$9)=2028,Inputs!$B$89,(2032-Inputs!$B$9)=2029,Inputs!$B$90,(2032-Inputs!$B$9)=2030,Inputs!$B$91,(2032-Inputs!$B$9)=2031,Inputs!$B$92,(2032-Inputs!$B$9)=2032,Inputs!$B$93,(2032-Inputs!$B$9)=2033,Inputs!$B$94,(2032-Inputs!$B$9)=2034,Inputs!$B$95,(2032-Inputs!$B$9)=2035,Inputs!$B$96,(2032-Inputs!$B$9)=2036,Inputs!$B$97,(2032-Inputs!$B$9)=2037,Inputs!$B$98,(2032-Inputs!$B$9)=2038,Inputs!$B$99,(2032-Inputs!$B$9)=2039,Inputs!$B$100,(2032-Inputs!$B$9)=2040,Inputs!$B$101)))</f>
        <v>125.825</v>
      </c>
      <c r="K26" s="35" t="n">
        <f aca="false">IF((2033-Inputs!$B$9)&lt;2028,0,IF((2033-Inputs!$B$9)&gt;2040,Inputs!$B$101*(1+Inputs!$B$87)^((2033-Inputs!$B$9)-2040),_xlfn.IFS((2033-Inputs!$B$9)=2028,Inputs!$B$89,(2033-Inputs!$B$9)=2029,Inputs!$B$90,(2033-Inputs!$B$9)=2030,Inputs!$B$91,(2033-Inputs!$B$9)=2031,Inputs!$B$92,(2033-Inputs!$B$9)=2032,Inputs!$B$93,(2033-Inputs!$B$9)=2033,Inputs!$B$94,(2033-Inputs!$B$9)=2034,Inputs!$B$95,(2033-Inputs!$B$9)=2035,Inputs!$B$96,(2033-Inputs!$B$9)=2036,Inputs!$B$97,(2033-Inputs!$B$9)=2037,Inputs!$B$98,(2033-Inputs!$B$9)=2038,Inputs!$B$99,(2033-Inputs!$B$9)=2039,Inputs!$B$100,(2033-Inputs!$B$9)=2040,Inputs!$B$101)))</f>
        <v>132.794</v>
      </c>
      <c r="L26" s="35" t="n">
        <f aca="false">IF((2034-Inputs!$B$9)&lt;2028,0,IF((2034-Inputs!$B$9)&gt;2040,Inputs!$B$101*(1+Inputs!$B$87)^((2034-Inputs!$B$9)-2040),_xlfn.IFS((2034-Inputs!$B$9)=2028,Inputs!$B$89,(2034-Inputs!$B$9)=2029,Inputs!$B$90,(2034-Inputs!$B$9)=2030,Inputs!$B$91,(2034-Inputs!$B$9)=2031,Inputs!$B$92,(2034-Inputs!$B$9)=2032,Inputs!$B$93,(2034-Inputs!$B$9)=2033,Inputs!$B$94,(2034-Inputs!$B$9)=2034,Inputs!$B$95,(2034-Inputs!$B$9)=2035,Inputs!$B$96,(2034-Inputs!$B$9)=2036,Inputs!$B$97,(2034-Inputs!$B$9)=2037,Inputs!$B$98,(2034-Inputs!$B$9)=2038,Inputs!$B$99,(2034-Inputs!$B$9)=2039,Inputs!$B$100,(2034-Inputs!$B$9)=2040,Inputs!$B$101)))</f>
        <v>140.706</v>
      </c>
      <c r="M26" s="35" t="n">
        <f aca="false">IF((2035-Inputs!$B$9)&lt;2028,0,IF((2035-Inputs!$B$9)&gt;2040,Inputs!$B$101*(1+Inputs!$B$87)^((2035-Inputs!$B$9)-2040),_xlfn.IFS((2035-Inputs!$B$9)=2028,Inputs!$B$89,(2035-Inputs!$B$9)=2029,Inputs!$B$90,(2035-Inputs!$B$9)=2030,Inputs!$B$91,(2035-Inputs!$B$9)=2031,Inputs!$B$92,(2035-Inputs!$B$9)=2032,Inputs!$B$93,(2035-Inputs!$B$9)=2033,Inputs!$B$94,(2035-Inputs!$B$9)=2034,Inputs!$B$95,(2035-Inputs!$B$9)=2035,Inputs!$B$96,(2035-Inputs!$B$9)=2036,Inputs!$B$97,(2035-Inputs!$B$9)=2037,Inputs!$B$98,(2035-Inputs!$B$9)=2038,Inputs!$B$99,(2035-Inputs!$B$9)=2039,Inputs!$B$100,(2035-Inputs!$B$9)=2040,Inputs!$B$101)))</f>
        <v>149.264</v>
      </c>
      <c r="N26" s="35" t="n">
        <f aca="false">IF((2036-Inputs!$B$9)&lt;2028,0,IF((2036-Inputs!$B$9)&gt;2040,Inputs!$B$101*(1+Inputs!$B$87)^((2036-Inputs!$B$9)-2040),_xlfn.IFS((2036-Inputs!$B$9)=2028,Inputs!$B$89,(2036-Inputs!$B$9)=2029,Inputs!$B$90,(2036-Inputs!$B$9)=2030,Inputs!$B$91,(2036-Inputs!$B$9)=2031,Inputs!$B$92,(2036-Inputs!$B$9)=2032,Inputs!$B$93,(2036-Inputs!$B$9)=2033,Inputs!$B$94,(2036-Inputs!$B$9)=2034,Inputs!$B$95,(2036-Inputs!$B$9)=2035,Inputs!$B$96,(2036-Inputs!$B$9)=2036,Inputs!$B$97,(2036-Inputs!$B$9)=2037,Inputs!$B$98,(2036-Inputs!$B$9)=2038,Inputs!$B$99,(2036-Inputs!$B$9)=2039,Inputs!$B$100,(2036-Inputs!$B$9)=2040,Inputs!$B$101)))</f>
        <v>156.54</v>
      </c>
      <c r="O26" s="35" t="n">
        <f aca="false">IF((2037-Inputs!$B$9)&lt;2028,0,IF((2037-Inputs!$B$9)&gt;2040,Inputs!$B$101*(1+Inputs!$B$87)^((2037-Inputs!$B$9)-2040),_xlfn.IFS((2037-Inputs!$B$9)=2028,Inputs!$B$89,(2037-Inputs!$B$9)=2029,Inputs!$B$90,(2037-Inputs!$B$9)=2030,Inputs!$B$91,(2037-Inputs!$B$9)=2031,Inputs!$B$92,(2037-Inputs!$B$9)=2032,Inputs!$B$93,(2037-Inputs!$B$9)=2033,Inputs!$B$94,(2037-Inputs!$B$9)=2034,Inputs!$B$95,(2037-Inputs!$B$9)=2035,Inputs!$B$96,(2037-Inputs!$B$9)=2036,Inputs!$B$97,(2037-Inputs!$B$9)=2037,Inputs!$B$98,(2037-Inputs!$B$9)=2038,Inputs!$B$99,(2037-Inputs!$B$9)=2039,Inputs!$B$100,(2037-Inputs!$B$9)=2040,Inputs!$B$101)))</f>
        <v>163.825</v>
      </c>
      <c r="P26" s="35" t="n">
        <f aca="false">IF((2038-Inputs!$B$9)&lt;2028,0,IF((2038-Inputs!$B$9)&gt;2040,Inputs!$B$101*(1+Inputs!$B$87)^((2038-Inputs!$B$9)-2040),_xlfn.IFS((2038-Inputs!$B$9)=2028,Inputs!$B$89,(2038-Inputs!$B$9)=2029,Inputs!$B$90,(2038-Inputs!$B$9)=2030,Inputs!$B$91,(2038-Inputs!$B$9)=2031,Inputs!$B$92,(2038-Inputs!$B$9)=2032,Inputs!$B$93,(2038-Inputs!$B$9)=2033,Inputs!$B$94,(2038-Inputs!$B$9)=2034,Inputs!$B$95,(2038-Inputs!$B$9)=2035,Inputs!$B$96,(2038-Inputs!$B$9)=2036,Inputs!$B$97,(2038-Inputs!$B$9)=2037,Inputs!$B$98,(2038-Inputs!$B$9)=2038,Inputs!$B$99,(2038-Inputs!$B$9)=2039,Inputs!$B$100,(2038-Inputs!$B$9)=2040,Inputs!$B$101)))</f>
        <v>171.073</v>
      </c>
      <c r="Q26" s="35" t="n">
        <f aca="false">IF((2039-Inputs!$B$9)&lt;2028,0,IF((2039-Inputs!$B$9)&gt;2040,Inputs!$B$101*(1+Inputs!$B$87)^((2039-Inputs!$B$9)-2040),_xlfn.IFS((2039-Inputs!$B$9)=2028,Inputs!$B$89,(2039-Inputs!$B$9)=2029,Inputs!$B$90,(2039-Inputs!$B$9)=2030,Inputs!$B$91,(2039-Inputs!$B$9)=2031,Inputs!$B$92,(2039-Inputs!$B$9)=2032,Inputs!$B$93,(2039-Inputs!$B$9)=2033,Inputs!$B$94,(2039-Inputs!$B$9)=2034,Inputs!$B$95,(2039-Inputs!$B$9)=2035,Inputs!$B$96,(2039-Inputs!$B$9)=2036,Inputs!$B$97,(2039-Inputs!$B$9)=2037,Inputs!$B$98,(2039-Inputs!$B$9)=2038,Inputs!$B$99,(2039-Inputs!$B$9)=2039,Inputs!$B$100,(2039-Inputs!$B$9)=2040,Inputs!$B$101)))</f>
        <v>178.88</v>
      </c>
      <c r="R26" s="35" t="n">
        <f aca="false">IF((2040-Inputs!$B$9)&lt;2028,0,IF((2040-Inputs!$B$9)&gt;2040,Inputs!$B$101*(1+Inputs!$B$87)^((2040-Inputs!$B$9)-2040),_xlfn.IFS((2040-Inputs!$B$9)=2028,Inputs!$B$89,(2040-Inputs!$B$9)=2029,Inputs!$B$90,(2040-Inputs!$B$9)=2030,Inputs!$B$91,(2040-Inputs!$B$9)=2031,Inputs!$B$92,(2040-Inputs!$B$9)=2032,Inputs!$B$93,(2040-Inputs!$B$9)=2033,Inputs!$B$94,(2040-Inputs!$B$9)=2034,Inputs!$B$95,(2040-Inputs!$B$9)=2035,Inputs!$B$96,(2040-Inputs!$B$9)=2036,Inputs!$B$97,(2040-Inputs!$B$9)=2037,Inputs!$B$98,(2040-Inputs!$B$9)=2038,Inputs!$B$99,(2040-Inputs!$B$9)=2039,Inputs!$B$100,(2040-Inputs!$B$9)=2040,Inputs!$B$101)))</f>
        <v>187.14</v>
      </c>
      <c r="S26" s="35" t="n">
        <f aca="false">IF((2041-Inputs!$B$9)&lt;2028,0,IF((2041-Inputs!$B$9)&gt;2040,Inputs!$B$101*(1+Inputs!$B$87)^((2041-Inputs!$B$9)-2040),_xlfn.IFS((2041-Inputs!$B$9)=2028,Inputs!$B$89,(2041-Inputs!$B$9)=2029,Inputs!$B$90,(2041-Inputs!$B$9)=2030,Inputs!$B$91,(2041-Inputs!$B$9)=2031,Inputs!$B$92,(2041-Inputs!$B$9)=2032,Inputs!$B$93,(2041-Inputs!$B$9)=2033,Inputs!$B$94,(2041-Inputs!$B$9)=2034,Inputs!$B$95,(2041-Inputs!$B$9)=2035,Inputs!$B$96,(2041-Inputs!$B$9)=2036,Inputs!$B$97,(2041-Inputs!$B$9)=2037,Inputs!$B$98,(2041-Inputs!$B$9)=2038,Inputs!$B$99,(2041-Inputs!$B$9)=2039,Inputs!$B$100,(2041-Inputs!$B$9)=2040,Inputs!$B$101)))</f>
        <v>191.8185</v>
      </c>
      <c r="T26" s="35" t="n">
        <f aca="false">IF((2042-Inputs!$B$9)&lt;2028,0,IF((2042-Inputs!$B$9)&gt;2040,Inputs!$B$101*(1+Inputs!$B$87)^((2042-Inputs!$B$9)-2040),_xlfn.IFS((2042-Inputs!$B$9)=2028,Inputs!$B$89,(2042-Inputs!$B$9)=2029,Inputs!$B$90,(2042-Inputs!$B$9)=2030,Inputs!$B$91,(2042-Inputs!$B$9)=2031,Inputs!$B$92,(2042-Inputs!$B$9)=2032,Inputs!$B$93,(2042-Inputs!$B$9)=2033,Inputs!$B$94,(2042-Inputs!$B$9)=2034,Inputs!$B$95,(2042-Inputs!$B$9)=2035,Inputs!$B$96,(2042-Inputs!$B$9)=2036,Inputs!$B$97,(2042-Inputs!$B$9)=2037,Inputs!$B$98,(2042-Inputs!$B$9)=2038,Inputs!$B$99,(2042-Inputs!$B$9)=2039,Inputs!$B$100,(2042-Inputs!$B$9)=2040,Inputs!$B$101)))</f>
        <v>196.6139625</v>
      </c>
      <c r="U26" s="35" t="n">
        <f aca="false">IF((2043-Inputs!$B$9)&lt;2028,0,IF((2043-Inputs!$B$9)&gt;2040,Inputs!$B$101*(1+Inputs!$B$87)^((2043-Inputs!$B$9)-2040),_xlfn.IFS((2043-Inputs!$B$9)=2028,Inputs!$B$89,(2043-Inputs!$B$9)=2029,Inputs!$B$90,(2043-Inputs!$B$9)=2030,Inputs!$B$91,(2043-Inputs!$B$9)=2031,Inputs!$B$92,(2043-Inputs!$B$9)=2032,Inputs!$B$93,(2043-Inputs!$B$9)=2033,Inputs!$B$94,(2043-Inputs!$B$9)=2034,Inputs!$B$95,(2043-Inputs!$B$9)=2035,Inputs!$B$96,(2043-Inputs!$B$9)=2036,Inputs!$B$97,(2043-Inputs!$B$9)=2037,Inputs!$B$98,(2043-Inputs!$B$9)=2038,Inputs!$B$99,(2043-Inputs!$B$9)=2039,Inputs!$B$100,(2043-Inputs!$B$9)=2040,Inputs!$B$101)))</f>
        <v>201.5293115625</v>
      </c>
      <c r="V26" s="35" t="n">
        <f aca="false">IF((2044-Inputs!$B$9)&lt;2028,0,IF((2044-Inputs!$B$9)&gt;2040,Inputs!$B$101*(1+Inputs!$B$87)^((2044-Inputs!$B$9)-2040),_xlfn.IFS((2044-Inputs!$B$9)=2028,Inputs!$B$89,(2044-Inputs!$B$9)=2029,Inputs!$B$90,(2044-Inputs!$B$9)=2030,Inputs!$B$91,(2044-Inputs!$B$9)=2031,Inputs!$B$92,(2044-Inputs!$B$9)=2032,Inputs!$B$93,(2044-Inputs!$B$9)=2033,Inputs!$B$94,(2044-Inputs!$B$9)=2034,Inputs!$B$95,(2044-Inputs!$B$9)=2035,Inputs!$B$96,(2044-Inputs!$B$9)=2036,Inputs!$B$97,(2044-Inputs!$B$9)=2037,Inputs!$B$98,(2044-Inputs!$B$9)=2038,Inputs!$B$99,(2044-Inputs!$B$9)=2039,Inputs!$B$100,(2044-Inputs!$B$9)=2040,Inputs!$B$101)))</f>
        <v>206.567544351562</v>
      </c>
      <c r="W26" s="35" t="n">
        <f aca="false">IF((2045-Inputs!$B$9)&lt;2028,0,IF((2045-Inputs!$B$9)&gt;2040,Inputs!$B$101*(1+Inputs!$B$87)^((2045-Inputs!$B$9)-2040),_xlfn.IFS((2045-Inputs!$B$9)=2028,Inputs!$B$89,(2045-Inputs!$B$9)=2029,Inputs!$B$90,(2045-Inputs!$B$9)=2030,Inputs!$B$91,(2045-Inputs!$B$9)=2031,Inputs!$B$92,(2045-Inputs!$B$9)=2032,Inputs!$B$93,(2045-Inputs!$B$9)=2033,Inputs!$B$94,(2045-Inputs!$B$9)=2034,Inputs!$B$95,(2045-Inputs!$B$9)=2035,Inputs!$B$96,(2045-Inputs!$B$9)=2036,Inputs!$B$97,(2045-Inputs!$B$9)=2037,Inputs!$B$98,(2045-Inputs!$B$9)=2038,Inputs!$B$99,(2045-Inputs!$B$9)=2039,Inputs!$B$100,(2045-Inputs!$B$9)=2040,Inputs!$B$101)))</f>
        <v>211.731732960351</v>
      </c>
      <c r="X26" s="35" t="n">
        <f aca="false">IF((2046-Inputs!$B$9)&lt;2028,0,IF((2046-Inputs!$B$9)&gt;2040,Inputs!$B$101*(1+Inputs!$B$87)^((2046-Inputs!$B$9)-2040),_xlfn.IFS((2046-Inputs!$B$9)=2028,Inputs!$B$89,(2046-Inputs!$B$9)=2029,Inputs!$B$90,(2046-Inputs!$B$9)=2030,Inputs!$B$91,(2046-Inputs!$B$9)=2031,Inputs!$B$92,(2046-Inputs!$B$9)=2032,Inputs!$B$93,(2046-Inputs!$B$9)=2033,Inputs!$B$94,(2046-Inputs!$B$9)=2034,Inputs!$B$95,(2046-Inputs!$B$9)=2035,Inputs!$B$96,(2046-Inputs!$B$9)=2036,Inputs!$B$97,(2046-Inputs!$B$9)=2037,Inputs!$B$98,(2046-Inputs!$B$9)=2038,Inputs!$B$99,(2046-Inputs!$B$9)=2039,Inputs!$B$100,(2046-Inputs!$B$9)=2040,Inputs!$B$101)))</f>
        <v>217.02502628436</v>
      </c>
      <c r="Y26" s="35" t="n">
        <f aca="false">IF((2047-Inputs!$B$9)&lt;2028,0,IF((2047-Inputs!$B$9)&gt;2040,Inputs!$B$101*(1+Inputs!$B$87)^((2047-Inputs!$B$9)-2040),_xlfn.IFS((2047-Inputs!$B$9)=2028,Inputs!$B$89,(2047-Inputs!$B$9)=2029,Inputs!$B$90,(2047-Inputs!$B$9)=2030,Inputs!$B$91,(2047-Inputs!$B$9)=2031,Inputs!$B$92,(2047-Inputs!$B$9)=2032,Inputs!$B$93,(2047-Inputs!$B$9)=2033,Inputs!$B$94,(2047-Inputs!$B$9)=2034,Inputs!$B$95,(2047-Inputs!$B$9)=2035,Inputs!$B$96,(2047-Inputs!$B$9)=2036,Inputs!$B$97,(2047-Inputs!$B$9)=2037,Inputs!$B$98,(2047-Inputs!$B$9)=2038,Inputs!$B$99,(2047-Inputs!$B$9)=2039,Inputs!$B$100,(2047-Inputs!$B$9)=2040,Inputs!$B$101)))</f>
        <v>222.450651941469</v>
      </c>
      <c r="Z26" s="35" t="n">
        <f aca="false">IF((2048-Inputs!$B$9)&lt;2028,0,IF((2048-Inputs!$B$9)&gt;2040,Inputs!$B$101*(1+Inputs!$B$87)^((2048-Inputs!$B$9)-2040),_xlfn.IFS((2048-Inputs!$B$9)=2028,Inputs!$B$89,(2048-Inputs!$B$9)=2029,Inputs!$B$90,(2048-Inputs!$B$9)=2030,Inputs!$B$91,(2048-Inputs!$B$9)=2031,Inputs!$B$92,(2048-Inputs!$B$9)=2032,Inputs!$B$93,(2048-Inputs!$B$9)=2033,Inputs!$B$94,(2048-Inputs!$B$9)=2034,Inputs!$B$95,(2048-Inputs!$B$9)=2035,Inputs!$B$96,(2048-Inputs!$B$9)=2036,Inputs!$B$97,(2048-Inputs!$B$9)=2037,Inputs!$B$98,(2048-Inputs!$B$9)=2038,Inputs!$B$99,(2048-Inputs!$B$9)=2039,Inputs!$B$100,(2048-Inputs!$B$9)=2040,Inputs!$B$101)))</f>
        <v>228.011918240006</v>
      </c>
      <c r="AA26" s="35" t="n">
        <f aca="false">IF((2049-Inputs!$B$9)&lt;2028,0,IF((2049-Inputs!$B$9)&gt;2040,Inputs!$B$101*(1+Inputs!$B$87)^((2049-Inputs!$B$9)-2040),_xlfn.IFS((2049-Inputs!$B$9)=2028,Inputs!$B$89,(2049-Inputs!$B$9)=2029,Inputs!$B$90,(2049-Inputs!$B$9)=2030,Inputs!$B$91,(2049-Inputs!$B$9)=2031,Inputs!$B$92,(2049-Inputs!$B$9)=2032,Inputs!$B$93,(2049-Inputs!$B$9)=2033,Inputs!$B$94,(2049-Inputs!$B$9)=2034,Inputs!$B$95,(2049-Inputs!$B$9)=2035,Inputs!$B$96,(2049-Inputs!$B$9)=2036,Inputs!$B$97,(2049-Inputs!$B$9)=2037,Inputs!$B$98,(2049-Inputs!$B$9)=2038,Inputs!$B$99,(2049-Inputs!$B$9)=2039,Inputs!$B$100,(2049-Inputs!$B$9)=2040,Inputs!$B$101)))</f>
        <v>233.712216196006</v>
      </c>
      <c r="AB26" s="35" t="n">
        <f aca="false">IF((2050-Inputs!$B$9)&lt;2028,0,IF((2050-Inputs!$B$9)&gt;2040,Inputs!$B$101*(1+Inputs!$B$87)^((2050-Inputs!$B$9)-2040),_xlfn.IFS((2050-Inputs!$B$9)=2028,Inputs!$B$89,(2050-Inputs!$B$9)=2029,Inputs!$B$90,(2050-Inputs!$B$9)=2030,Inputs!$B$91,(2050-Inputs!$B$9)=2031,Inputs!$B$92,(2050-Inputs!$B$9)=2032,Inputs!$B$93,(2050-Inputs!$B$9)=2033,Inputs!$B$94,(2050-Inputs!$B$9)=2034,Inputs!$B$95,(2050-Inputs!$B$9)=2035,Inputs!$B$96,(2050-Inputs!$B$9)=2036,Inputs!$B$97,(2050-Inputs!$B$9)=2037,Inputs!$B$98,(2050-Inputs!$B$9)=2038,Inputs!$B$99,(2050-Inputs!$B$9)=2039,Inputs!$B$100,(2050-Inputs!$B$9)=2040,Inputs!$B$101)))</f>
        <v>239.555021600906</v>
      </c>
      <c r="AC26" s="35" t="n">
        <f aca="false">IF((2051-Inputs!$B$9)&lt;2028,0,IF((2051-Inputs!$B$9)&gt;2040,Inputs!$B$101*(1+Inputs!$B$87)^((2051-Inputs!$B$9)-2040),_xlfn.IFS((2051-Inputs!$B$9)=2028,Inputs!$B$89,(2051-Inputs!$B$9)=2029,Inputs!$B$90,(2051-Inputs!$B$9)=2030,Inputs!$B$91,(2051-Inputs!$B$9)=2031,Inputs!$B$92,(2051-Inputs!$B$9)=2032,Inputs!$B$93,(2051-Inputs!$B$9)=2033,Inputs!$B$94,(2051-Inputs!$B$9)=2034,Inputs!$B$95,(2051-Inputs!$B$9)=2035,Inputs!$B$96,(2051-Inputs!$B$9)=2036,Inputs!$B$97,(2051-Inputs!$B$9)=2037,Inputs!$B$98,(2051-Inputs!$B$9)=2038,Inputs!$B$99,(2051-Inputs!$B$9)=2039,Inputs!$B$100,(2051-Inputs!$B$9)=2040,Inputs!$B$101)))</f>
        <v>245.543897140929</v>
      </c>
      <c r="AD26" s="35" t="n">
        <f aca="false">IF((2052-Inputs!$B$9)&lt;2028,0,IF((2052-Inputs!$B$9)&gt;2040,Inputs!$B$101*(1+Inputs!$B$87)^((2052-Inputs!$B$9)-2040),_xlfn.IFS((2052-Inputs!$B$9)=2028,Inputs!$B$89,(2052-Inputs!$B$9)=2029,Inputs!$B$90,(2052-Inputs!$B$9)=2030,Inputs!$B$91,(2052-Inputs!$B$9)=2031,Inputs!$B$92,(2052-Inputs!$B$9)=2032,Inputs!$B$93,(2052-Inputs!$B$9)=2033,Inputs!$B$94,(2052-Inputs!$B$9)=2034,Inputs!$B$95,(2052-Inputs!$B$9)=2035,Inputs!$B$96,(2052-Inputs!$B$9)=2036,Inputs!$B$97,(2052-Inputs!$B$9)=2037,Inputs!$B$98,(2052-Inputs!$B$9)=2038,Inputs!$B$99,(2052-Inputs!$B$9)=2039,Inputs!$B$100,(2052-Inputs!$B$9)=2040,Inputs!$B$101)))</f>
        <v>251.682494569452</v>
      </c>
      <c r="AE26" s="35" t="n">
        <f aca="false">IF((2053-Inputs!$B$9)&lt;2028,0,IF((2053-Inputs!$B$9)&gt;2040,Inputs!$B$101*(1+Inputs!$B$87)^((2053-Inputs!$B$9)-2040),_xlfn.IFS((2053-Inputs!$B$9)=2028,Inputs!$B$89,(2053-Inputs!$B$9)=2029,Inputs!$B$90,(2053-Inputs!$B$9)=2030,Inputs!$B$91,(2053-Inputs!$B$9)=2031,Inputs!$B$92,(2053-Inputs!$B$9)=2032,Inputs!$B$93,(2053-Inputs!$B$9)=2033,Inputs!$B$94,(2053-Inputs!$B$9)=2034,Inputs!$B$95,(2053-Inputs!$B$9)=2035,Inputs!$B$96,(2053-Inputs!$B$9)=2036,Inputs!$B$97,(2053-Inputs!$B$9)=2037,Inputs!$B$98,(2053-Inputs!$B$9)=2038,Inputs!$B$99,(2053-Inputs!$B$9)=2039,Inputs!$B$100,(2053-Inputs!$B$9)=2040,Inputs!$B$101)))</f>
        <v>257.974556933688</v>
      </c>
      <c r="AF26" s="35" t="n">
        <f aca="false">IF((2054-Inputs!$B$9)&lt;2028,0,IF((2054-Inputs!$B$9)&gt;2040,Inputs!$B$101*(1+Inputs!$B$87)^((2054-Inputs!$B$9)-2040),_xlfn.IFS((2054-Inputs!$B$9)=2028,Inputs!$B$89,(2054-Inputs!$B$9)=2029,Inputs!$B$90,(2054-Inputs!$B$9)=2030,Inputs!$B$91,(2054-Inputs!$B$9)=2031,Inputs!$B$92,(2054-Inputs!$B$9)=2032,Inputs!$B$93,(2054-Inputs!$B$9)=2033,Inputs!$B$94,(2054-Inputs!$B$9)=2034,Inputs!$B$95,(2054-Inputs!$B$9)=2035,Inputs!$B$96,(2054-Inputs!$B$9)=2036,Inputs!$B$97,(2054-Inputs!$B$9)=2037,Inputs!$B$98,(2054-Inputs!$B$9)=2038,Inputs!$B$99,(2054-Inputs!$B$9)=2039,Inputs!$B$100,(2054-Inputs!$B$9)=2040,Inputs!$B$101)))</f>
        <v>264.423920857031</v>
      </c>
      <c r="AG26" s="35" t="n">
        <f aca="false">IF((2055-Inputs!$B$9)&lt;2028,0,IF((2055-Inputs!$B$9)&gt;2040,Inputs!$B$101*(1+Inputs!$B$87)^((2055-Inputs!$B$9)-2040),_xlfn.IFS((2055-Inputs!$B$9)=2028,Inputs!$B$89,(2055-Inputs!$B$9)=2029,Inputs!$B$90,(2055-Inputs!$B$9)=2030,Inputs!$B$91,(2055-Inputs!$B$9)=2031,Inputs!$B$92,(2055-Inputs!$B$9)=2032,Inputs!$B$93,(2055-Inputs!$B$9)=2033,Inputs!$B$94,(2055-Inputs!$B$9)=2034,Inputs!$B$95,(2055-Inputs!$B$9)=2035,Inputs!$B$96,(2055-Inputs!$B$9)=2036,Inputs!$B$97,(2055-Inputs!$B$9)=2037,Inputs!$B$98,(2055-Inputs!$B$9)=2038,Inputs!$B$99,(2055-Inputs!$B$9)=2039,Inputs!$B$100,(2055-Inputs!$B$9)=2040,Inputs!$B$101)))</f>
        <v>271.034518878456</v>
      </c>
      <c r="AH26" s="35" t="n">
        <f aca="false">IF((2056-Inputs!$B$9)&lt;2028,0,IF((2056-Inputs!$B$9)&gt;2040,Inputs!$B$101*(1+Inputs!$B$87)^((2056-Inputs!$B$9)-2040),_xlfn.IFS((2056-Inputs!$B$9)=2028,Inputs!$B$89,(2056-Inputs!$B$9)=2029,Inputs!$B$90,(2056-Inputs!$B$9)=2030,Inputs!$B$91,(2056-Inputs!$B$9)=2031,Inputs!$B$92,(2056-Inputs!$B$9)=2032,Inputs!$B$93,(2056-Inputs!$B$9)=2033,Inputs!$B$94,(2056-Inputs!$B$9)=2034,Inputs!$B$95,(2056-Inputs!$B$9)=2035,Inputs!$B$96,(2056-Inputs!$B$9)=2036,Inputs!$B$97,(2056-Inputs!$B$9)=2037,Inputs!$B$98,(2056-Inputs!$B$9)=2038,Inputs!$B$99,(2056-Inputs!$B$9)=2039,Inputs!$B$100,(2056-Inputs!$B$9)=2040,Inputs!$B$101)))</f>
        <v>277.810381850418</v>
      </c>
      <c r="AI26" s="35" t="n">
        <f aca="false">IF((2057-Inputs!$B$9)&lt;2028,0,IF((2057-Inputs!$B$9)&gt;2040,Inputs!$B$101*(1+Inputs!$B$87)^((2057-Inputs!$B$9)-2040),_xlfn.IFS((2057-Inputs!$B$9)=2028,Inputs!$B$89,(2057-Inputs!$B$9)=2029,Inputs!$B$90,(2057-Inputs!$B$9)=2030,Inputs!$B$91,(2057-Inputs!$B$9)=2031,Inputs!$B$92,(2057-Inputs!$B$9)=2032,Inputs!$B$93,(2057-Inputs!$B$9)=2033,Inputs!$B$94,(2057-Inputs!$B$9)=2034,Inputs!$B$95,(2057-Inputs!$B$9)=2035,Inputs!$B$96,(2057-Inputs!$B$9)=2036,Inputs!$B$97,(2057-Inputs!$B$9)=2037,Inputs!$B$98,(2057-Inputs!$B$9)=2038,Inputs!$B$99,(2057-Inputs!$B$9)=2039,Inputs!$B$100,(2057-Inputs!$B$9)=2040,Inputs!$B$101)))</f>
        <v>284.755641396678</v>
      </c>
      <c r="AJ26" s="35" t="n">
        <f aca="false">IF((2058-Inputs!$B$9)&lt;2028,0,IF((2058-Inputs!$B$9)&gt;2040,Inputs!$B$101*(1+Inputs!$B$87)^((2058-Inputs!$B$9)-2040),_xlfn.IFS((2058-Inputs!$B$9)=2028,Inputs!$B$89,(2058-Inputs!$B$9)=2029,Inputs!$B$90,(2058-Inputs!$B$9)=2030,Inputs!$B$91,(2058-Inputs!$B$9)=2031,Inputs!$B$92,(2058-Inputs!$B$9)=2032,Inputs!$B$93,(2058-Inputs!$B$9)=2033,Inputs!$B$94,(2058-Inputs!$B$9)=2034,Inputs!$B$95,(2058-Inputs!$B$9)=2035,Inputs!$B$96,(2058-Inputs!$B$9)=2036,Inputs!$B$97,(2058-Inputs!$B$9)=2037,Inputs!$B$98,(2058-Inputs!$B$9)=2038,Inputs!$B$99,(2058-Inputs!$B$9)=2039,Inputs!$B$100,(2058-Inputs!$B$9)=2040,Inputs!$B$101)))</f>
        <v>291.874532431595</v>
      </c>
      <c r="AK26" s="35" t="n">
        <f aca="false">IF((2059-Inputs!$B$9)&lt;2028,0,IF((2059-Inputs!$B$9)&gt;2040,Inputs!$B$101*(1+Inputs!$B$87)^((2059-Inputs!$B$9)-2040),_xlfn.IFS((2059-Inputs!$B$9)=2028,Inputs!$B$89,(2059-Inputs!$B$9)=2029,Inputs!$B$90,(2059-Inputs!$B$9)=2030,Inputs!$B$91,(2059-Inputs!$B$9)=2031,Inputs!$B$92,(2059-Inputs!$B$9)=2032,Inputs!$B$93,(2059-Inputs!$B$9)=2033,Inputs!$B$94,(2059-Inputs!$B$9)=2034,Inputs!$B$95,(2059-Inputs!$B$9)=2035,Inputs!$B$96,(2059-Inputs!$B$9)=2036,Inputs!$B$97,(2059-Inputs!$B$9)=2037,Inputs!$B$98,(2059-Inputs!$B$9)=2038,Inputs!$B$99,(2059-Inputs!$B$9)=2039,Inputs!$B$100,(2059-Inputs!$B$9)=2040,Inputs!$B$101)))</f>
        <v>299.171395742385</v>
      </c>
      <c r="AL26" s="35" t="n">
        <f aca="false">IF((2060-Inputs!$B$9)&lt;2028,0,IF((2060-Inputs!$B$9)&gt;2040,Inputs!$B$101*(1+Inputs!$B$87)^((2060-Inputs!$B$9)-2040),_xlfn.IFS((2060-Inputs!$B$9)=2028,Inputs!$B$89,(2060-Inputs!$B$9)=2029,Inputs!$B$90,(2060-Inputs!$B$9)=2030,Inputs!$B$91,(2060-Inputs!$B$9)=2031,Inputs!$B$92,(2060-Inputs!$B$9)=2032,Inputs!$B$93,(2060-Inputs!$B$9)=2033,Inputs!$B$94,(2060-Inputs!$B$9)=2034,Inputs!$B$95,(2060-Inputs!$B$9)=2035,Inputs!$B$96,(2060-Inputs!$B$9)=2036,Inputs!$B$97,(2060-Inputs!$B$9)=2037,Inputs!$B$98,(2060-Inputs!$B$9)=2038,Inputs!$B$99,(2060-Inputs!$B$9)=2039,Inputs!$B$100,(2060-Inputs!$B$9)=2040,Inputs!$B$101)))</f>
        <v>306.650680635944</v>
      </c>
      <c r="AM26" s="35" t="n">
        <f aca="false">IF((2061-Inputs!$B$9)&lt;2028,0,IF((2061-Inputs!$B$9)&gt;2040,Inputs!$B$101*(1+Inputs!$B$87)^((2061-Inputs!$B$9)-2040),_xlfn.IFS((2061-Inputs!$B$9)=2028,Inputs!$B$89,(2061-Inputs!$B$9)=2029,Inputs!$B$90,(2061-Inputs!$B$9)=2030,Inputs!$B$91,(2061-Inputs!$B$9)=2031,Inputs!$B$92,(2061-Inputs!$B$9)=2032,Inputs!$B$93,(2061-Inputs!$B$9)=2033,Inputs!$B$94,(2061-Inputs!$B$9)=2034,Inputs!$B$95,(2061-Inputs!$B$9)=2035,Inputs!$B$96,(2061-Inputs!$B$9)=2036,Inputs!$B$97,(2061-Inputs!$B$9)=2037,Inputs!$B$98,(2061-Inputs!$B$9)=2038,Inputs!$B$99,(2061-Inputs!$B$9)=2039,Inputs!$B$100,(2061-Inputs!$B$9)=2040,Inputs!$B$101)))</f>
        <v>314.316947651843</v>
      </c>
      <c r="AN26" s="35" t="n">
        <f aca="false">IF((2062-Inputs!$B$9)&lt;2028,0,IF((2062-Inputs!$B$9)&gt;2040,Inputs!$B$101*(1+Inputs!$B$87)^((2062-Inputs!$B$9)-2040),_xlfn.IFS((2062-Inputs!$B$9)=2028,Inputs!$B$89,(2062-Inputs!$B$9)=2029,Inputs!$B$90,(2062-Inputs!$B$9)=2030,Inputs!$B$91,(2062-Inputs!$B$9)=2031,Inputs!$B$92,(2062-Inputs!$B$9)=2032,Inputs!$B$93,(2062-Inputs!$B$9)=2033,Inputs!$B$94,(2062-Inputs!$B$9)=2034,Inputs!$B$95,(2062-Inputs!$B$9)=2035,Inputs!$B$96,(2062-Inputs!$B$9)=2036,Inputs!$B$97,(2062-Inputs!$B$9)=2037,Inputs!$B$98,(2062-Inputs!$B$9)=2038,Inputs!$B$99,(2062-Inputs!$B$9)=2039,Inputs!$B$100,(2062-Inputs!$B$9)=2040,Inputs!$B$101)))</f>
        <v>322.174871343139</v>
      </c>
      <c r="AO26" s="35" t="n">
        <f aca="false">IF((2063-Inputs!$B$9)&lt;2028,0,IF((2063-Inputs!$B$9)&gt;2040,Inputs!$B$101*(1+Inputs!$B$87)^((2063-Inputs!$B$9)-2040),_xlfn.IFS((2063-Inputs!$B$9)=2028,Inputs!$B$89,(2063-Inputs!$B$9)=2029,Inputs!$B$90,(2063-Inputs!$B$9)=2030,Inputs!$B$91,(2063-Inputs!$B$9)=2031,Inputs!$B$92,(2063-Inputs!$B$9)=2032,Inputs!$B$93,(2063-Inputs!$B$9)=2033,Inputs!$B$94,(2063-Inputs!$B$9)=2034,Inputs!$B$95,(2063-Inputs!$B$9)=2035,Inputs!$B$96,(2063-Inputs!$B$9)=2036,Inputs!$B$97,(2063-Inputs!$B$9)=2037,Inputs!$B$98,(2063-Inputs!$B$9)=2038,Inputs!$B$99,(2063-Inputs!$B$9)=2039,Inputs!$B$100,(2063-Inputs!$B$9)=2040,Inputs!$B$101)))</f>
        <v>330.229243126717</v>
      </c>
      <c r="AP26" s="35" t="n">
        <f aca="false">IF((2064-Inputs!$B$9)&lt;2028,0,IF((2064-Inputs!$B$9)&gt;2040,Inputs!$B$101*(1+Inputs!$B$87)^((2064-Inputs!$B$9)-2040),_xlfn.IFS((2064-Inputs!$B$9)=2028,Inputs!$B$89,(2064-Inputs!$B$9)=2029,Inputs!$B$90,(2064-Inputs!$B$9)=2030,Inputs!$B$91,(2064-Inputs!$B$9)=2031,Inputs!$B$92,(2064-Inputs!$B$9)=2032,Inputs!$B$93,(2064-Inputs!$B$9)=2033,Inputs!$B$94,(2064-Inputs!$B$9)=2034,Inputs!$B$95,(2064-Inputs!$B$9)=2035,Inputs!$B$96,(2064-Inputs!$B$9)=2036,Inputs!$B$97,(2064-Inputs!$B$9)=2037,Inputs!$B$98,(2064-Inputs!$B$9)=2038,Inputs!$B$99,(2064-Inputs!$B$9)=2039,Inputs!$B$100,(2064-Inputs!$B$9)=2040,Inputs!$B$101)))</f>
        <v>338.484974204885</v>
      </c>
      <c r="AQ26" s="35" t="n">
        <f aca="false">IF((2065-Inputs!$B$9)&lt;2028,0,IF((2065-Inputs!$B$9)&gt;2040,Inputs!$B$101*(1+Inputs!$B$87)^((2065-Inputs!$B$9)-2040),_xlfn.IFS((2065-Inputs!$B$9)=2028,Inputs!$B$89,(2065-Inputs!$B$9)=2029,Inputs!$B$90,(2065-Inputs!$B$9)=2030,Inputs!$B$91,(2065-Inputs!$B$9)=2031,Inputs!$B$92,(2065-Inputs!$B$9)=2032,Inputs!$B$93,(2065-Inputs!$B$9)=2033,Inputs!$B$94,(2065-Inputs!$B$9)=2034,Inputs!$B$95,(2065-Inputs!$B$9)=2035,Inputs!$B$96,(2065-Inputs!$B$9)=2036,Inputs!$B$97,(2065-Inputs!$B$9)=2037,Inputs!$B$98,(2065-Inputs!$B$9)=2038,Inputs!$B$99,(2065-Inputs!$B$9)=2039,Inputs!$B$100,(2065-Inputs!$B$9)=2040,Inputs!$B$101)))</f>
        <v>346.947098560008</v>
      </c>
      <c r="AR26" s="35" t="n">
        <f aca="false">IF((2066-Inputs!$B$9)&lt;2028,0,IF((2066-Inputs!$B$9)&gt;2040,Inputs!$B$101*(1+Inputs!$B$87)^((2066-Inputs!$B$9)-2040),_xlfn.IFS((2066-Inputs!$B$9)=2028,Inputs!$B$89,(2066-Inputs!$B$9)=2029,Inputs!$B$90,(2066-Inputs!$B$9)=2030,Inputs!$B$91,(2066-Inputs!$B$9)=2031,Inputs!$B$92,(2066-Inputs!$B$9)=2032,Inputs!$B$93,(2066-Inputs!$B$9)=2033,Inputs!$B$94,(2066-Inputs!$B$9)=2034,Inputs!$B$95,(2066-Inputs!$B$9)=2035,Inputs!$B$96,(2066-Inputs!$B$9)=2036,Inputs!$B$97,(2066-Inputs!$B$9)=2037,Inputs!$B$98,(2066-Inputs!$B$9)=2038,Inputs!$B$99,(2066-Inputs!$B$9)=2039,Inputs!$B$100,(2066-Inputs!$B$9)=2040,Inputs!$B$101)))</f>
        <v>355.620776024008</v>
      </c>
      <c r="AS26" s="35" t="n">
        <f aca="false">IF((2067-Inputs!$B$9)&lt;2028,0,IF((2067-Inputs!$B$9)&gt;2040,Inputs!$B$101*(1+Inputs!$B$87)^((2067-Inputs!$B$9)-2040),_xlfn.IFS((2067-Inputs!$B$9)=2028,Inputs!$B$89,(2067-Inputs!$B$9)=2029,Inputs!$B$90,(2067-Inputs!$B$9)=2030,Inputs!$B$91,(2067-Inputs!$B$9)=2031,Inputs!$B$92,(2067-Inputs!$B$9)=2032,Inputs!$B$93,(2067-Inputs!$B$9)=2033,Inputs!$B$94,(2067-Inputs!$B$9)=2034,Inputs!$B$95,(2067-Inputs!$B$9)=2035,Inputs!$B$96,(2067-Inputs!$B$9)=2036,Inputs!$B$97,(2067-Inputs!$B$9)=2037,Inputs!$B$98,(2067-Inputs!$B$9)=2038,Inputs!$B$99,(2067-Inputs!$B$9)=2039,Inputs!$B$100,(2067-Inputs!$B$9)=2040,Inputs!$B$101)))</f>
        <v>364.511295424608</v>
      </c>
      <c r="AT26" s="35" t="n">
        <f aca="false">IF((2068-Inputs!$B$9)&lt;2028,0,IF((2068-Inputs!$B$9)&gt;2040,Inputs!$B$101*(1+Inputs!$B$87)^((2068-Inputs!$B$9)-2040),_xlfn.IFS((2068-Inputs!$B$9)=2028,Inputs!$B$89,(2068-Inputs!$B$9)=2029,Inputs!$B$90,(2068-Inputs!$B$9)=2030,Inputs!$B$91,(2068-Inputs!$B$9)=2031,Inputs!$B$92,(2068-Inputs!$B$9)=2032,Inputs!$B$93,(2068-Inputs!$B$9)=2033,Inputs!$B$94,(2068-Inputs!$B$9)=2034,Inputs!$B$95,(2068-Inputs!$B$9)=2035,Inputs!$B$96,(2068-Inputs!$B$9)=2036,Inputs!$B$97,(2068-Inputs!$B$9)=2037,Inputs!$B$98,(2068-Inputs!$B$9)=2038,Inputs!$B$99,(2068-Inputs!$B$9)=2039,Inputs!$B$100,(2068-Inputs!$B$9)=2040,Inputs!$B$101)))</f>
        <v>373.624077810223</v>
      </c>
      <c r="AU26" s="35" t="n">
        <f aca="false">IF((2069-Inputs!$B$9)&lt;2028,0,IF((2069-Inputs!$B$9)&gt;2040,Inputs!$B$101*(1+Inputs!$B$87)^((2069-Inputs!$B$9)-2040),_xlfn.IFS((2069-Inputs!$B$9)=2028,Inputs!$B$89,(2069-Inputs!$B$9)=2029,Inputs!$B$90,(2069-Inputs!$B$9)=2030,Inputs!$B$91,(2069-Inputs!$B$9)=2031,Inputs!$B$92,(2069-Inputs!$B$9)=2032,Inputs!$B$93,(2069-Inputs!$B$9)=2033,Inputs!$B$94,(2069-Inputs!$B$9)=2034,Inputs!$B$95,(2069-Inputs!$B$9)=2035,Inputs!$B$96,(2069-Inputs!$B$9)=2036,Inputs!$B$97,(2069-Inputs!$B$9)=2037,Inputs!$B$98,(2069-Inputs!$B$9)=2038,Inputs!$B$99,(2069-Inputs!$B$9)=2039,Inputs!$B$100,(2069-Inputs!$B$9)=2040,Inputs!$B$101)))</f>
        <v>382.964679755478</v>
      </c>
      <c r="AV26" s="35" t="n">
        <f aca="false">IF((2070-Inputs!$B$9)&lt;2028,0,IF((2070-Inputs!$B$9)&gt;2040,Inputs!$B$101*(1+Inputs!$B$87)^((2070-Inputs!$B$9)-2040),_xlfn.IFS((2070-Inputs!$B$9)=2028,Inputs!$B$89,(2070-Inputs!$B$9)=2029,Inputs!$B$90,(2070-Inputs!$B$9)=2030,Inputs!$B$91,(2070-Inputs!$B$9)=2031,Inputs!$B$92,(2070-Inputs!$B$9)=2032,Inputs!$B$93,(2070-Inputs!$B$9)=2033,Inputs!$B$94,(2070-Inputs!$B$9)=2034,Inputs!$B$95,(2070-Inputs!$B$9)=2035,Inputs!$B$96,(2070-Inputs!$B$9)=2036,Inputs!$B$97,(2070-Inputs!$B$9)=2037,Inputs!$B$98,(2070-Inputs!$B$9)=2038,Inputs!$B$99,(2070-Inputs!$B$9)=2039,Inputs!$B$100,(2070-Inputs!$B$9)=2040,Inputs!$B$101)))</f>
        <v>392.538796749365</v>
      </c>
      <c r="AW26" s="35" t="n">
        <f aca="false">IF((2071-Inputs!$B$9)&lt;2028,0,IF((2071-Inputs!$B$9)&gt;2040,Inputs!$B$101*(1+Inputs!$B$87)^((2071-Inputs!$B$9)-2040),_xlfn.IFS((2071-Inputs!$B$9)=2028,Inputs!$B$89,(2071-Inputs!$B$9)=2029,Inputs!$B$90,(2071-Inputs!$B$9)=2030,Inputs!$B$91,(2071-Inputs!$B$9)=2031,Inputs!$B$92,(2071-Inputs!$B$9)=2032,Inputs!$B$93,(2071-Inputs!$B$9)=2033,Inputs!$B$94,(2071-Inputs!$B$9)=2034,Inputs!$B$95,(2071-Inputs!$B$9)=2035,Inputs!$B$96,(2071-Inputs!$B$9)=2036,Inputs!$B$97,(2071-Inputs!$B$9)=2037,Inputs!$B$98,(2071-Inputs!$B$9)=2038,Inputs!$B$99,(2071-Inputs!$B$9)=2039,Inputs!$B$100,(2071-Inputs!$B$9)=2040,Inputs!$B$101)))</f>
        <v>402.3522666681</v>
      </c>
      <c r="AX26" s="35" t="n">
        <f aca="false">IF((2072-Inputs!$B$9)&lt;2028,0,IF((2072-Inputs!$B$9)&gt;2040,Inputs!$B$101*(1+Inputs!$B$87)^((2072-Inputs!$B$9)-2040),_xlfn.IFS((2072-Inputs!$B$9)=2028,Inputs!$B$89,(2072-Inputs!$B$9)=2029,Inputs!$B$90,(2072-Inputs!$B$9)=2030,Inputs!$B$91,(2072-Inputs!$B$9)=2031,Inputs!$B$92,(2072-Inputs!$B$9)=2032,Inputs!$B$93,(2072-Inputs!$B$9)=2033,Inputs!$B$94,(2072-Inputs!$B$9)=2034,Inputs!$B$95,(2072-Inputs!$B$9)=2035,Inputs!$B$96,(2072-Inputs!$B$9)=2036,Inputs!$B$97,(2072-Inputs!$B$9)=2037,Inputs!$B$98,(2072-Inputs!$B$9)=2038,Inputs!$B$99,(2072-Inputs!$B$9)=2039,Inputs!$B$100,(2072-Inputs!$B$9)=2040,Inputs!$B$101)))</f>
        <v>412.411073334802</v>
      </c>
      <c r="AY26" s="35" t="n">
        <f aca="false">IF((2073-Inputs!$B$9)&lt;2028,0,IF((2073-Inputs!$B$9)&gt;2040,Inputs!$B$101*(1+Inputs!$B$87)^((2073-Inputs!$B$9)-2040),_xlfn.IFS((2073-Inputs!$B$9)=2028,Inputs!$B$89,(2073-Inputs!$B$9)=2029,Inputs!$B$90,(2073-Inputs!$B$9)=2030,Inputs!$B$91,(2073-Inputs!$B$9)=2031,Inputs!$B$92,(2073-Inputs!$B$9)=2032,Inputs!$B$93,(2073-Inputs!$B$9)=2033,Inputs!$B$94,(2073-Inputs!$B$9)=2034,Inputs!$B$95,(2073-Inputs!$B$9)=2035,Inputs!$B$96,(2073-Inputs!$B$9)=2036,Inputs!$B$97,(2073-Inputs!$B$9)=2037,Inputs!$B$98,(2073-Inputs!$B$9)=2038,Inputs!$B$99,(2073-Inputs!$B$9)=2039,Inputs!$B$100,(2073-Inputs!$B$9)=2040,Inputs!$B$101)))</f>
        <v>422.721350168172</v>
      </c>
      <c r="AZ26" s="35" t="n">
        <f aca="false">IF((2074-Inputs!$B$9)&lt;2028,0,IF((2074-Inputs!$B$9)&gt;2040,Inputs!$B$101*(1+Inputs!$B$87)^((2074-Inputs!$B$9)-2040),_xlfn.IFS((2074-Inputs!$B$9)=2028,Inputs!$B$89,(2074-Inputs!$B$9)=2029,Inputs!$B$90,(2074-Inputs!$B$9)=2030,Inputs!$B$91,(2074-Inputs!$B$9)=2031,Inputs!$B$92,(2074-Inputs!$B$9)=2032,Inputs!$B$93,(2074-Inputs!$B$9)=2033,Inputs!$B$94,(2074-Inputs!$B$9)=2034,Inputs!$B$95,(2074-Inputs!$B$9)=2035,Inputs!$B$96,(2074-Inputs!$B$9)=2036,Inputs!$B$97,(2074-Inputs!$B$9)=2037,Inputs!$B$98,(2074-Inputs!$B$9)=2038,Inputs!$B$99,(2074-Inputs!$B$9)=2039,Inputs!$B$100,(2074-Inputs!$B$9)=2040,Inputs!$B$101)))</f>
        <v>433.289383922376</v>
      </c>
    </row>
    <row r="27" customFormat="false" ht="15" hidden="false" customHeight="false" outlineLevel="0" collapsed="false">
      <c r="A27" s="34" t="s">
        <v>135</v>
      </c>
      <c r="D27" s="39" t="n">
        <f aca="false">IF((2026-Inputs!$B$9)&lt;2028,0,IF((2026-Inputs!$B$9)&gt;2040,Inputs!$B$114/Inputs!$B$101,_xlfn.IFS((2026-Inputs!$B$9)=2028,Inputs!$B$102/Inputs!$B$89,(2026-Inputs!$B$9)=2029,Inputs!$B$103/Inputs!$B$90,(2026-Inputs!$B$9)=2030,Inputs!$B$104/Inputs!$B$91,(2026-Inputs!$B$9)=2031,Inputs!$B$105/Inputs!$B$92,(2026-Inputs!$B$9)=2032,Inputs!$B$106/Inputs!$B$93,(2026-Inputs!$B$9)=2033,Inputs!$B$107/Inputs!$B$94,(2026-Inputs!$B$9)=2034,Inputs!$B$108/Inputs!$B$95,(2026-Inputs!$B$9)=2035,Inputs!$B$109/Inputs!$B$96,(2026-Inputs!$B$9)=2036,Inputs!$B$110/Inputs!$B$97,(2026-Inputs!$B$9)=2037,Inputs!$B$111/Inputs!$B$98,(2026-Inputs!$B$9)=2038,Inputs!$B$112/Inputs!$B$99,(2026-Inputs!$B$9)=2039,Inputs!$B$113/Inputs!$B$100,(2026-Inputs!$B$9)=2040,Inputs!$B$114/Inputs!$B$101)))</f>
        <v>0</v>
      </c>
      <c r="E27" s="39" t="n">
        <f aca="false">IF((2027-Inputs!$B$9)&lt;2028,0,IF((2027-Inputs!$B$9)&gt;2040,Inputs!$B$114/Inputs!$B$101,_xlfn.IFS((2027-Inputs!$B$9)=2028,Inputs!$B$102/Inputs!$B$89,(2027-Inputs!$B$9)=2029,Inputs!$B$103/Inputs!$B$90,(2027-Inputs!$B$9)=2030,Inputs!$B$104/Inputs!$B$91,(2027-Inputs!$B$9)=2031,Inputs!$B$105/Inputs!$B$92,(2027-Inputs!$B$9)=2032,Inputs!$B$106/Inputs!$B$93,(2027-Inputs!$B$9)=2033,Inputs!$B$107/Inputs!$B$94,(2027-Inputs!$B$9)=2034,Inputs!$B$108/Inputs!$B$95,(2027-Inputs!$B$9)=2035,Inputs!$B$109/Inputs!$B$96,(2027-Inputs!$B$9)=2036,Inputs!$B$110/Inputs!$B$97,(2027-Inputs!$B$9)=2037,Inputs!$B$111/Inputs!$B$98,(2027-Inputs!$B$9)=2038,Inputs!$B$112/Inputs!$B$99,(2027-Inputs!$B$9)=2039,Inputs!$B$113/Inputs!$B$100,(2027-Inputs!$B$9)=2040,Inputs!$B$114/Inputs!$B$101)))</f>
        <v>0</v>
      </c>
      <c r="F27" s="39" t="n">
        <f aca="false">IF((2028-Inputs!$B$9)&lt;2028,0,IF((2028-Inputs!$B$9)&gt;2040,Inputs!$B$114/Inputs!$B$101,_xlfn.IFS((2028-Inputs!$B$9)=2028,Inputs!$B$102/Inputs!$B$89,(2028-Inputs!$B$9)=2029,Inputs!$B$103/Inputs!$B$90,(2028-Inputs!$B$9)=2030,Inputs!$B$104/Inputs!$B$91,(2028-Inputs!$B$9)=2031,Inputs!$B$105/Inputs!$B$92,(2028-Inputs!$B$9)=2032,Inputs!$B$106/Inputs!$B$93,(2028-Inputs!$B$9)=2033,Inputs!$B$107/Inputs!$B$94,(2028-Inputs!$B$9)=2034,Inputs!$B$108/Inputs!$B$95,(2028-Inputs!$B$9)=2035,Inputs!$B$109/Inputs!$B$96,(2028-Inputs!$B$9)=2036,Inputs!$B$110/Inputs!$B$97,(2028-Inputs!$B$9)=2037,Inputs!$B$111/Inputs!$B$98,(2028-Inputs!$B$9)=2038,Inputs!$B$112/Inputs!$B$99,(2028-Inputs!$B$9)=2039,Inputs!$B$113/Inputs!$B$100,(2028-Inputs!$B$9)=2040,Inputs!$B$114/Inputs!$B$101)))</f>
        <v>0.354689057587608</v>
      </c>
      <c r="G27" s="39" t="n">
        <f aca="false">IF((2029-Inputs!$B$9)&lt;2028,0,IF((2029-Inputs!$B$9)&gt;2040,Inputs!$B$114/Inputs!$B$101,_xlfn.IFS((2029-Inputs!$B$9)=2028,Inputs!$B$102/Inputs!$B$89,(2029-Inputs!$B$9)=2029,Inputs!$B$103/Inputs!$B$90,(2029-Inputs!$B$9)=2030,Inputs!$B$104/Inputs!$B$91,(2029-Inputs!$B$9)=2031,Inputs!$B$105/Inputs!$B$92,(2029-Inputs!$B$9)=2032,Inputs!$B$106/Inputs!$B$93,(2029-Inputs!$B$9)=2033,Inputs!$B$107/Inputs!$B$94,(2029-Inputs!$B$9)=2034,Inputs!$B$108/Inputs!$B$95,(2029-Inputs!$B$9)=2035,Inputs!$B$109/Inputs!$B$96,(2029-Inputs!$B$9)=2036,Inputs!$B$110/Inputs!$B$97,(2029-Inputs!$B$9)=2037,Inputs!$B$111/Inputs!$B$98,(2029-Inputs!$B$9)=2038,Inputs!$B$112/Inputs!$B$99,(2029-Inputs!$B$9)=2039,Inputs!$B$113/Inputs!$B$100,(2029-Inputs!$B$9)=2040,Inputs!$B$114/Inputs!$B$101)))</f>
        <v>0.334585003483564</v>
      </c>
      <c r="H27" s="39" t="n">
        <f aca="false">IF((2030-Inputs!$B$9)&lt;2028,0,IF((2030-Inputs!$B$9)&gt;2040,Inputs!$B$114/Inputs!$B$101,_xlfn.IFS((2030-Inputs!$B$9)=2028,Inputs!$B$102/Inputs!$B$89,(2030-Inputs!$B$9)=2029,Inputs!$B$103/Inputs!$B$90,(2030-Inputs!$B$9)=2030,Inputs!$B$104/Inputs!$B$91,(2030-Inputs!$B$9)=2031,Inputs!$B$105/Inputs!$B$92,(2030-Inputs!$B$9)=2032,Inputs!$B$106/Inputs!$B$93,(2030-Inputs!$B$9)=2033,Inputs!$B$107/Inputs!$B$94,(2030-Inputs!$B$9)=2034,Inputs!$B$108/Inputs!$B$95,(2030-Inputs!$B$9)=2035,Inputs!$B$109/Inputs!$B$96,(2030-Inputs!$B$9)=2036,Inputs!$B$110/Inputs!$B$97,(2030-Inputs!$B$9)=2037,Inputs!$B$111/Inputs!$B$98,(2030-Inputs!$B$9)=2038,Inputs!$B$112/Inputs!$B$99,(2030-Inputs!$B$9)=2039,Inputs!$B$113/Inputs!$B$100,(2030-Inputs!$B$9)=2040,Inputs!$B$114/Inputs!$B$101)))</f>
        <v>0.34294716011665</v>
      </c>
      <c r="I27" s="39" t="n">
        <f aca="false">IF((2031-Inputs!$B$9)&lt;2028,0,IF((2031-Inputs!$B$9)&gt;2040,Inputs!$B$114/Inputs!$B$101,_xlfn.IFS((2031-Inputs!$B$9)=2028,Inputs!$B$102/Inputs!$B$89,(2031-Inputs!$B$9)=2029,Inputs!$B$103/Inputs!$B$90,(2031-Inputs!$B$9)=2030,Inputs!$B$104/Inputs!$B$91,(2031-Inputs!$B$9)=2031,Inputs!$B$105/Inputs!$B$92,(2031-Inputs!$B$9)=2032,Inputs!$B$106/Inputs!$B$93,(2031-Inputs!$B$9)=2033,Inputs!$B$107/Inputs!$B$94,(2031-Inputs!$B$9)=2034,Inputs!$B$108/Inputs!$B$95,(2031-Inputs!$B$9)=2035,Inputs!$B$109/Inputs!$B$96,(2031-Inputs!$B$9)=2036,Inputs!$B$110/Inputs!$B$97,(2031-Inputs!$B$9)=2037,Inputs!$B$111/Inputs!$B$98,(2031-Inputs!$B$9)=2038,Inputs!$B$112/Inputs!$B$99,(2031-Inputs!$B$9)=2039,Inputs!$B$113/Inputs!$B$100,(2031-Inputs!$B$9)=2040,Inputs!$B$114/Inputs!$B$101)))</f>
        <v>0.347394499265169</v>
      </c>
      <c r="J27" s="39" t="n">
        <f aca="false">IF((2032-Inputs!$B$9)&lt;2028,0,IF((2032-Inputs!$B$9)&gt;2040,Inputs!$B$114/Inputs!$B$101,_xlfn.IFS((2032-Inputs!$B$9)=2028,Inputs!$B$102/Inputs!$B$89,(2032-Inputs!$B$9)=2029,Inputs!$B$103/Inputs!$B$90,(2032-Inputs!$B$9)=2030,Inputs!$B$104/Inputs!$B$91,(2032-Inputs!$B$9)=2031,Inputs!$B$105/Inputs!$B$92,(2032-Inputs!$B$9)=2032,Inputs!$B$106/Inputs!$B$93,(2032-Inputs!$B$9)=2033,Inputs!$B$107/Inputs!$B$94,(2032-Inputs!$B$9)=2034,Inputs!$B$108/Inputs!$B$95,(2032-Inputs!$B$9)=2035,Inputs!$B$109/Inputs!$B$96,(2032-Inputs!$B$9)=2036,Inputs!$B$110/Inputs!$B$97,(2032-Inputs!$B$9)=2037,Inputs!$B$111/Inputs!$B$98,(2032-Inputs!$B$9)=2038,Inputs!$B$112/Inputs!$B$99,(2032-Inputs!$B$9)=2039,Inputs!$B$113/Inputs!$B$100,(2032-Inputs!$B$9)=2040,Inputs!$B$114/Inputs!$B$101)))</f>
        <v>0.359006556725611</v>
      </c>
      <c r="K27" s="39" t="n">
        <f aca="false">IF((2033-Inputs!$B$9)&lt;2028,0,IF((2033-Inputs!$B$9)&gt;2040,Inputs!$B$114/Inputs!$B$101,_xlfn.IFS((2033-Inputs!$B$9)=2028,Inputs!$B$102/Inputs!$B$89,(2033-Inputs!$B$9)=2029,Inputs!$B$103/Inputs!$B$90,(2033-Inputs!$B$9)=2030,Inputs!$B$104/Inputs!$B$91,(2033-Inputs!$B$9)=2031,Inputs!$B$105/Inputs!$B$92,(2033-Inputs!$B$9)=2032,Inputs!$B$106/Inputs!$B$93,(2033-Inputs!$B$9)=2033,Inputs!$B$107/Inputs!$B$94,(2033-Inputs!$B$9)=2034,Inputs!$B$108/Inputs!$B$95,(2033-Inputs!$B$9)=2035,Inputs!$B$109/Inputs!$B$96,(2033-Inputs!$B$9)=2036,Inputs!$B$110/Inputs!$B$97,(2033-Inputs!$B$9)=2037,Inputs!$B$111/Inputs!$B$98,(2033-Inputs!$B$9)=2038,Inputs!$B$112/Inputs!$B$99,(2033-Inputs!$B$9)=2039,Inputs!$B$113/Inputs!$B$100,(2033-Inputs!$B$9)=2040,Inputs!$B$114/Inputs!$B$101)))</f>
        <v>0.370566441254876</v>
      </c>
      <c r="L27" s="39" t="n">
        <f aca="false">IF((2034-Inputs!$B$9)&lt;2028,0,IF((2034-Inputs!$B$9)&gt;2040,Inputs!$B$114/Inputs!$B$101,_xlfn.IFS((2034-Inputs!$B$9)=2028,Inputs!$B$102/Inputs!$B$89,(2034-Inputs!$B$9)=2029,Inputs!$B$103/Inputs!$B$90,(2034-Inputs!$B$9)=2030,Inputs!$B$104/Inputs!$B$91,(2034-Inputs!$B$9)=2031,Inputs!$B$105/Inputs!$B$92,(2034-Inputs!$B$9)=2032,Inputs!$B$106/Inputs!$B$93,(2034-Inputs!$B$9)=2033,Inputs!$B$107/Inputs!$B$94,(2034-Inputs!$B$9)=2034,Inputs!$B$108/Inputs!$B$95,(2034-Inputs!$B$9)=2035,Inputs!$B$109/Inputs!$B$96,(2034-Inputs!$B$9)=2036,Inputs!$B$110/Inputs!$B$97,(2034-Inputs!$B$9)=2037,Inputs!$B$111/Inputs!$B$98,(2034-Inputs!$B$9)=2038,Inputs!$B$112/Inputs!$B$99,(2034-Inputs!$B$9)=2039,Inputs!$B$113/Inputs!$B$100,(2034-Inputs!$B$9)=2040,Inputs!$B$114/Inputs!$B$101)))</f>
        <v>0.382769746848038</v>
      </c>
      <c r="M27" s="39" t="n">
        <f aca="false">IF((2035-Inputs!$B$9)&lt;2028,0,IF((2035-Inputs!$B$9)&gt;2040,Inputs!$B$114/Inputs!$B$101,_xlfn.IFS((2035-Inputs!$B$9)=2028,Inputs!$B$102/Inputs!$B$89,(2035-Inputs!$B$9)=2029,Inputs!$B$103/Inputs!$B$90,(2035-Inputs!$B$9)=2030,Inputs!$B$104/Inputs!$B$91,(2035-Inputs!$B$9)=2031,Inputs!$B$105/Inputs!$B$92,(2035-Inputs!$B$9)=2032,Inputs!$B$106/Inputs!$B$93,(2035-Inputs!$B$9)=2033,Inputs!$B$107/Inputs!$B$94,(2035-Inputs!$B$9)=2034,Inputs!$B$108/Inputs!$B$95,(2035-Inputs!$B$9)=2035,Inputs!$B$109/Inputs!$B$96,(2035-Inputs!$B$9)=2036,Inputs!$B$110/Inputs!$B$97,(2035-Inputs!$B$9)=2037,Inputs!$B$111/Inputs!$B$98,(2035-Inputs!$B$9)=2038,Inputs!$B$112/Inputs!$B$99,(2035-Inputs!$B$9)=2039,Inputs!$B$113/Inputs!$B$100,(2035-Inputs!$B$9)=2040,Inputs!$B$114/Inputs!$B$101)))</f>
        <v>0.395011523207203</v>
      </c>
      <c r="N27" s="39" t="n">
        <f aca="false">IF((2036-Inputs!$B$9)&lt;2028,0,IF((2036-Inputs!$B$9)&gt;2040,Inputs!$B$114/Inputs!$B$101,_xlfn.IFS((2036-Inputs!$B$9)=2028,Inputs!$B$102/Inputs!$B$89,(2036-Inputs!$B$9)=2029,Inputs!$B$103/Inputs!$B$90,(2036-Inputs!$B$9)=2030,Inputs!$B$104/Inputs!$B$91,(2036-Inputs!$B$9)=2031,Inputs!$B$105/Inputs!$B$92,(2036-Inputs!$B$9)=2032,Inputs!$B$106/Inputs!$B$93,(2036-Inputs!$B$9)=2033,Inputs!$B$107/Inputs!$B$94,(2036-Inputs!$B$9)=2034,Inputs!$B$108/Inputs!$B$95,(2036-Inputs!$B$9)=2035,Inputs!$B$109/Inputs!$B$96,(2036-Inputs!$B$9)=2036,Inputs!$B$110/Inputs!$B$97,(2036-Inputs!$B$9)=2037,Inputs!$B$111/Inputs!$B$98,(2036-Inputs!$B$9)=2038,Inputs!$B$112/Inputs!$B$99,(2036-Inputs!$B$9)=2039,Inputs!$B$113/Inputs!$B$100,(2036-Inputs!$B$9)=2040,Inputs!$B$114/Inputs!$B$101)))</f>
        <v>0.403922320173758</v>
      </c>
      <c r="O27" s="39" t="n">
        <f aca="false">IF((2037-Inputs!$B$9)&lt;2028,0,IF((2037-Inputs!$B$9)&gt;2040,Inputs!$B$114/Inputs!$B$101,_xlfn.IFS((2037-Inputs!$B$9)=2028,Inputs!$B$102/Inputs!$B$89,(2037-Inputs!$B$9)=2029,Inputs!$B$103/Inputs!$B$90,(2037-Inputs!$B$9)=2030,Inputs!$B$104/Inputs!$B$91,(2037-Inputs!$B$9)=2031,Inputs!$B$105/Inputs!$B$92,(2037-Inputs!$B$9)=2032,Inputs!$B$106/Inputs!$B$93,(2037-Inputs!$B$9)=2033,Inputs!$B$107/Inputs!$B$94,(2037-Inputs!$B$9)=2034,Inputs!$B$108/Inputs!$B$95,(2037-Inputs!$B$9)=2035,Inputs!$B$109/Inputs!$B$96,(2037-Inputs!$B$9)=2036,Inputs!$B$110/Inputs!$B$97,(2037-Inputs!$B$9)=2037,Inputs!$B$111/Inputs!$B$98,(2037-Inputs!$B$9)=2038,Inputs!$B$112/Inputs!$B$99,(2037-Inputs!$B$9)=2039,Inputs!$B$113/Inputs!$B$100,(2037-Inputs!$B$9)=2040,Inputs!$B$114/Inputs!$B$101)))</f>
        <v>0.411597741492446</v>
      </c>
      <c r="P27" s="39" t="n">
        <f aca="false">IF((2038-Inputs!$B$9)&lt;2028,0,IF((2038-Inputs!$B$9)&gt;2040,Inputs!$B$114/Inputs!$B$101,_xlfn.IFS((2038-Inputs!$B$9)=2028,Inputs!$B$102/Inputs!$B$89,(2038-Inputs!$B$9)=2029,Inputs!$B$103/Inputs!$B$90,(2038-Inputs!$B$9)=2030,Inputs!$B$104/Inputs!$B$91,(2038-Inputs!$B$9)=2031,Inputs!$B$105/Inputs!$B$92,(2038-Inputs!$B$9)=2032,Inputs!$B$106/Inputs!$B$93,(2038-Inputs!$B$9)=2033,Inputs!$B$107/Inputs!$B$94,(2038-Inputs!$B$9)=2034,Inputs!$B$108/Inputs!$B$95,(2038-Inputs!$B$9)=2035,Inputs!$B$109/Inputs!$B$96,(2038-Inputs!$B$9)=2036,Inputs!$B$110/Inputs!$B$97,(2038-Inputs!$B$9)=2037,Inputs!$B$111/Inputs!$B$98,(2038-Inputs!$B$9)=2038,Inputs!$B$112/Inputs!$B$99,(2038-Inputs!$B$9)=2039,Inputs!$B$113/Inputs!$B$100,(2038-Inputs!$B$9)=2040,Inputs!$B$114/Inputs!$B$101)))</f>
        <v>0.418470477515447</v>
      </c>
      <c r="Q27" s="39" t="n">
        <f aca="false">IF((2039-Inputs!$B$9)&lt;2028,0,IF((2039-Inputs!$B$9)&gt;2040,Inputs!$B$114/Inputs!$B$101,_xlfn.IFS((2039-Inputs!$B$9)=2028,Inputs!$B$102/Inputs!$B$89,(2039-Inputs!$B$9)=2029,Inputs!$B$103/Inputs!$B$90,(2039-Inputs!$B$9)=2030,Inputs!$B$104/Inputs!$B$91,(2039-Inputs!$B$9)=2031,Inputs!$B$105/Inputs!$B$92,(2039-Inputs!$B$9)=2032,Inputs!$B$106/Inputs!$B$93,(2039-Inputs!$B$9)=2033,Inputs!$B$107/Inputs!$B$94,(2039-Inputs!$B$9)=2034,Inputs!$B$108/Inputs!$B$95,(2039-Inputs!$B$9)=2035,Inputs!$B$109/Inputs!$B$96,(2039-Inputs!$B$9)=2036,Inputs!$B$110/Inputs!$B$97,(2039-Inputs!$B$9)=2037,Inputs!$B$111/Inputs!$B$98,(2039-Inputs!$B$9)=2038,Inputs!$B$112/Inputs!$B$99,(2039-Inputs!$B$9)=2039,Inputs!$B$113/Inputs!$B$100,(2039-Inputs!$B$9)=2040,Inputs!$B$114/Inputs!$B$101)))</f>
        <v>0.42541927549195</v>
      </c>
      <c r="R27" s="39" t="n">
        <f aca="false">IF((2040-Inputs!$B$9)&lt;2028,0,IF((2040-Inputs!$B$9)&gt;2040,Inputs!$B$114/Inputs!$B$101,_xlfn.IFS((2040-Inputs!$B$9)=2028,Inputs!$B$102/Inputs!$B$89,(2040-Inputs!$B$9)=2029,Inputs!$B$103/Inputs!$B$90,(2040-Inputs!$B$9)=2030,Inputs!$B$104/Inputs!$B$91,(2040-Inputs!$B$9)=2031,Inputs!$B$105/Inputs!$B$92,(2040-Inputs!$B$9)=2032,Inputs!$B$106/Inputs!$B$93,(2040-Inputs!$B$9)=2033,Inputs!$B$107/Inputs!$B$94,(2040-Inputs!$B$9)=2034,Inputs!$B$108/Inputs!$B$95,(2040-Inputs!$B$9)=2035,Inputs!$B$109/Inputs!$B$96,(2040-Inputs!$B$9)=2036,Inputs!$B$110/Inputs!$B$97,(2040-Inputs!$B$9)=2037,Inputs!$B$111/Inputs!$B$98,(2040-Inputs!$B$9)=2038,Inputs!$B$112/Inputs!$B$99,(2040-Inputs!$B$9)=2039,Inputs!$B$113/Inputs!$B$100,(2040-Inputs!$B$9)=2040,Inputs!$B$114/Inputs!$B$101)))</f>
        <v>0.432371486587582</v>
      </c>
      <c r="S27" s="39" t="n">
        <f aca="false">IF((2041-Inputs!$B$9)&lt;2028,0,IF((2041-Inputs!$B$9)&gt;2040,Inputs!$B$114/Inputs!$B$101,_xlfn.IFS((2041-Inputs!$B$9)=2028,Inputs!$B$102/Inputs!$B$89,(2041-Inputs!$B$9)=2029,Inputs!$B$103/Inputs!$B$90,(2041-Inputs!$B$9)=2030,Inputs!$B$104/Inputs!$B$91,(2041-Inputs!$B$9)=2031,Inputs!$B$105/Inputs!$B$92,(2041-Inputs!$B$9)=2032,Inputs!$B$106/Inputs!$B$93,(2041-Inputs!$B$9)=2033,Inputs!$B$107/Inputs!$B$94,(2041-Inputs!$B$9)=2034,Inputs!$B$108/Inputs!$B$95,(2041-Inputs!$B$9)=2035,Inputs!$B$109/Inputs!$B$96,(2041-Inputs!$B$9)=2036,Inputs!$B$110/Inputs!$B$97,(2041-Inputs!$B$9)=2037,Inputs!$B$111/Inputs!$B$98,(2041-Inputs!$B$9)=2038,Inputs!$B$112/Inputs!$B$99,(2041-Inputs!$B$9)=2039,Inputs!$B$113/Inputs!$B$100,(2041-Inputs!$B$9)=2040,Inputs!$B$114/Inputs!$B$101)))</f>
        <v>0.432371486587582</v>
      </c>
      <c r="T27" s="39" t="n">
        <f aca="false">IF((2042-Inputs!$B$9)&lt;2028,0,IF((2042-Inputs!$B$9)&gt;2040,Inputs!$B$114/Inputs!$B$101,_xlfn.IFS((2042-Inputs!$B$9)=2028,Inputs!$B$102/Inputs!$B$89,(2042-Inputs!$B$9)=2029,Inputs!$B$103/Inputs!$B$90,(2042-Inputs!$B$9)=2030,Inputs!$B$104/Inputs!$B$91,(2042-Inputs!$B$9)=2031,Inputs!$B$105/Inputs!$B$92,(2042-Inputs!$B$9)=2032,Inputs!$B$106/Inputs!$B$93,(2042-Inputs!$B$9)=2033,Inputs!$B$107/Inputs!$B$94,(2042-Inputs!$B$9)=2034,Inputs!$B$108/Inputs!$B$95,(2042-Inputs!$B$9)=2035,Inputs!$B$109/Inputs!$B$96,(2042-Inputs!$B$9)=2036,Inputs!$B$110/Inputs!$B$97,(2042-Inputs!$B$9)=2037,Inputs!$B$111/Inputs!$B$98,(2042-Inputs!$B$9)=2038,Inputs!$B$112/Inputs!$B$99,(2042-Inputs!$B$9)=2039,Inputs!$B$113/Inputs!$B$100,(2042-Inputs!$B$9)=2040,Inputs!$B$114/Inputs!$B$101)))</f>
        <v>0.432371486587582</v>
      </c>
      <c r="U27" s="39" t="n">
        <f aca="false">IF((2043-Inputs!$B$9)&lt;2028,0,IF((2043-Inputs!$B$9)&gt;2040,Inputs!$B$114/Inputs!$B$101,_xlfn.IFS((2043-Inputs!$B$9)=2028,Inputs!$B$102/Inputs!$B$89,(2043-Inputs!$B$9)=2029,Inputs!$B$103/Inputs!$B$90,(2043-Inputs!$B$9)=2030,Inputs!$B$104/Inputs!$B$91,(2043-Inputs!$B$9)=2031,Inputs!$B$105/Inputs!$B$92,(2043-Inputs!$B$9)=2032,Inputs!$B$106/Inputs!$B$93,(2043-Inputs!$B$9)=2033,Inputs!$B$107/Inputs!$B$94,(2043-Inputs!$B$9)=2034,Inputs!$B$108/Inputs!$B$95,(2043-Inputs!$B$9)=2035,Inputs!$B$109/Inputs!$B$96,(2043-Inputs!$B$9)=2036,Inputs!$B$110/Inputs!$B$97,(2043-Inputs!$B$9)=2037,Inputs!$B$111/Inputs!$B$98,(2043-Inputs!$B$9)=2038,Inputs!$B$112/Inputs!$B$99,(2043-Inputs!$B$9)=2039,Inputs!$B$113/Inputs!$B$100,(2043-Inputs!$B$9)=2040,Inputs!$B$114/Inputs!$B$101)))</f>
        <v>0.432371486587582</v>
      </c>
      <c r="V27" s="39" t="n">
        <f aca="false">IF((2044-Inputs!$B$9)&lt;2028,0,IF((2044-Inputs!$B$9)&gt;2040,Inputs!$B$114/Inputs!$B$101,_xlfn.IFS((2044-Inputs!$B$9)=2028,Inputs!$B$102/Inputs!$B$89,(2044-Inputs!$B$9)=2029,Inputs!$B$103/Inputs!$B$90,(2044-Inputs!$B$9)=2030,Inputs!$B$104/Inputs!$B$91,(2044-Inputs!$B$9)=2031,Inputs!$B$105/Inputs!$B$92,(2044-Inputs!$B$9)=2032,Inputs!$B$106/Inputs!$B$93,(2044-Inputs!$B$9)=2033,Inputs!$B$107/Inputs!$B$94,(2044-Inputs!$B$9)=2034,Inputs!$B$108/Inputs!$B$95,(2044-Inputs!$B$9)=2035,Inputs!$B$109/Inputs!$B$96,(2044-Inputs!$B$9)=2036,Inputs!$B$110/Inputs!$B$97,(2044-Inputs!$B$9)=2037,Inputs!$B$111/Inputs!$B$98,(2044-Inputs!$B$9)=2038,Inputs!$B$112/Inputs!$B$99,(2044-Inputs!$B$9)=2039,Inputs!$B$113/Inputs!$B$100,(2044-Inputs!$B$9)=2040,Inputs!$B$114/Inputs!$B$101)))</f>
        <v>0.432371486587582</v>
      </c>
      <c r="W27" s="39" t="n">
        <f aca="false">IF((2045-Inputs!$B$9)&lt;2028,0,IF((2045-Inputs!$B$9)&gt;2040,Inputs!$B$114/Inputs!$B$101,_xlfn.IFS((2045-Inputs!$B$9)=2028,Inputs!$B$102/Inputs!$B$89,(2045-Inputs!$B$9)=2029,Inputs!$B$103/Inputs!$B$90,(2045-Inputs!$B$9)=2030,Inputs!$B$104/Inputs!$B$91,(2045-Inputs!$B$9)=2031,Inputs!$B$105/Inputs!$B$92,(2045-Inputs!$B$9)=2032,Inputs!$B$106/Inputs!$B$93,(2045-Inputs!$B$9)=2033,Inputs!$B$107/Inputs!$B$94,(2045-Inputs!$B$9)=2034,Inputs!$B$108/Inputs!$B$95,(2045-Inputs!$B$9)=2035,Inputs!$B$109/Inputs!$B$96,(2045-Inputs!$B$9)=2036,Inputs!$B$110/Inputs!$B$97,(2045-Inputs!$B$9)=2037,Inputs!$B$111/Inputs!$B$98,(2045-Inputs!$B$9)=2038,Inputs!$B$112/Inputs!$B$99,(2045-Inputs!$B$9)=2039,Inputs!$B$113/Inputs!$B$100,(2045-Inputs!$B$9)=2040,Inputs!$B$114/Inputs!$B$101)))</f>
        <v>0.432371486587582</v>
      </c>
      <c r="X27" s="39" t="n">
        <f aca="false">IF((2046-Inputs!$B$9)&lt;2028,0,IF((2046-Inputs!$B$9)&gt;2040,Inputs!$B$114/Inputs!$B$101,_xlfn.IFS((2046-Inputs!$B$9)=2028,Inputs!$B$102/Inputs!$B$89,(2046-Inputs!$B$9)=2029,Inputs!$B$103/Inputs!$B$90,(2046-Inputs!$B$9)=2030,Inputs!$B$104/Inputs!$B$91,(2046-Inputs!$B$9)=2031,Inputs!$B$105/Inputs!$B$92,(2046-Inputs!$B$9)=2032,Inputs!$B$106/Inputs!$B$93,(2046-Inputs!$B$9)=2033,Inputs!$B$107/Inputs!$B$94,(2046-Inputs!$B$9)=2034,Inputs!$B$108/Inputs!$B$95,(2046-Inputs!$B$9)=2035,Inputs!$B$109/Inputs!$B$96,(2046-Inputs!$B$9)=2036,Inputs!$B$110/Inputs!$B$97,(2046-Inputs!$B$9)=2037,Inputs!$B$111/Inputs!$B$98,(2046-Inputs!$B$9)=2038,Inputs!$B$112/Inputs!$B$99,(2046-Inputs!$B$9)=2039,Inputs!$B$113/Inputs!$B$100,(2046-Inputs!$B$9)=2040,Inputs!$B$114/Inputs!$B$101)))</f>
        <v>0.432371486587582</v>
      </c>
      <c r="Y27" s="39" t="n">
        <f aca="false">IF((2047-Inputs!$B$9)&lt;2028,0,IF((2047-Inputs!$B$9)&gt;2040,Inputs!$B$114/Inputs!$B$101,_xlfn.IFS((2047-Inputs!$B$9)=2028,Inputs!$B$102/Inputs!$B$89,(2047-Inputs!$B$9)=2029,Inputs!$B$103/Inputs!$B$90,(2047-Inputs!$B$9)=2030,Inputs!$B$104/Inputs!$B$91,(2047-Inputs!$B$9)=2031,Inputs!$B$105/Inputs!$B$92,(2047-Inputs!$B$9)=2032,Inputs!$B$106/Inputs!$B$93,(2047-Inputs!$B$9)=2033,Inputs!$B$107/Inputs!$B$94,(2047-Inputs!$B$9)=2034,Inputs!$B$108/Inputs!$B$95,(2047-Inputs!$B$9)=2035,Inputs!$B$109/Inputs!$B$96,(2047-Inputs!$B$9)=2036,Inputs!$B$110/Inputs!$B$97,(2047-Inputs!$B$9)=2037,Inputs!$B$111/Inputs!$B$98,(2047-Inputs!$B$9)=2038,Inputs!$B$112/Inputs!$B$99,(2047-Inputs!$B$9)=2039,Inputs!$B$113/Inputs!$B$100,(2047-Inputs!$B$9)=2040,Inputs!$B$114/Inputs!$B$101)))</f>
        <v>0.432371486587582</v>
      </c>
      <c r="Z27" s="39" t="n">
        <f aca="false">IF((2048-Inputs!$B$9)&lt;2028,0,IF((2048-Inputs!$B$9)&gt;2040,Inputs!$B$114/Inputs!$B$101,_xlfn.IFS((2048-Inputs!$B$9)=2028,Inputs!$B$102/Inputs!$B$89,(2048-Inputs!$B$9)=2029,Inputs!$B$103/Inputs!$B$90,(2048-Inputs!$B$9)=2030,Inputs!$B$104/Inputs!$B$91,(2048-Inputs!$B$9)=2031,Inputs!$B$105/Inputs!$B$92,(2048-Inputs!$B$9)=2032,Inputs!$B$106/Inputs!$B$93,(2048-Inputs!$B$9)=2033,Inputs!$B$107/Inputs!$B$94,(2048-Inputs!$B$9)=2034,Inputs!$B$108/Inputs!$B$95,(2048-Inputs!$B$9)=2035,Inputs!$B$109/Inputs!$B$96,(2048-Inputs!$B$9)=2036,Inputs!$B$110/Inputs!$B$97,(2048-Inputs!$B$9)=2037,Inputs!$B$111/Inputs!$B$98,(2048-Inputs!$B$9)=2038,Inputs!$B$112/Inputs!$B$99,(2048-Inputs!$B$9)=2039,Inputs!$B$113/Inputs!$B$100,(2048-Inputs!$B$9)=2040,Inputs!$B$114/Inputs!$B$101)))</f>
        <v>0.432371486587582</v>
      </c>
      <c r="AA27" s="39" t="n">
        <f aca="false">IF((2049-Inputs!$B$9)&lt;2028,0,IF((2049-Inputs!$B$9)&gt;2040,Inputs!$B$114/Inputs!$B$101,_xlfn.IFS((2049-Inputs!$B$9)=2028,Inputs!$B$102/Inputs!$B$89,(2049-Inputs!$B$9)=2029,Inputs!$B$103/Inputs!$B$90,(2049-Inputs!$B$9)=2030,Inputs!$B$104/Inputs!$B$91,(2049-Inputs!$B$9)=2031,Inputs!$B$105/Inputs!$B$92,(2049-Inputs!$B$9)=2032,Inputs!$B$106/Inputs!$B$93,(2049-Inputs!$B$9)=2033,Inputs!$B$107/Inputs!$B$94,(2049-Inputs!$B$9)=2034,Inputs!$B$108/Inputs!$B$95,(2049-Inputs!$B$9)=2035,Inputs!$B$109/Inputs!$B$96,(2049-Inputs!$B$9)=2036,Inputs!$B$110/Inputs!$B$97,(2049-Inputs!$B$9)=2037,Inputs!$B$111/Inputs!$B$98,(2049-Inputs!$B$9)=2038,Inputs!$B$112/Inputs!$B$99,(2049-Inputs!$B$9)=2039,Inputs!$B$113/Inputs!$B$100,(2049-Inputs!$B$9)=2040,Inputs!$B$114/Inputs!$B$101)))</f>
        <v>0.432371486587582</v>
      </c>
      <c r="AB27" s="39" t="n">
        <f aca="false">IF((2050-Inputs!$B$9)&lt;2028,0,IF((2050-Inputs!$B$9)&gt;2040,Inputs!$B$114/Inputs!$B$101,_xlfn.IFS((2050-Inputs!$B$9)=2028,Inputs!$B$102/Inputs!$B$89,(2050-Inputs!$B$9)=2029,Inputs!$B$103/Inputs!$B$90,(2050-Inputs!$B$9)=2030,Inputs!$B$104/Inputs!$B$91,(2050-Inputs!$B$9)=2031,Inputs!$B$105/Inputs!$B$92,(2050-Inputs!$B$9)=2032,Inputs!$B$106/Inputs!$B$93,(2050-Inputs!$B$9)=2033,Inputs!$B$107/Inputs!$B$94,(2050-Inputs!$B$9)=2034,Inputs!$B$108/Inputs!$B$95,(2050-Inputs!$B$9)=2035,Inputs!$B$109/Inputs!$B$96,(2050-Inputs!$B$9)=2036,Inputs!$B$110/Inputs!$B$97,(2050-Inputs!$B$9)=2037,Inputs!$B$111/Inputs!$B$98,(2050-Inputs!$B$9)=2038,Inputs!$B$112/Inputs!$B$99,(2050-Inputs!$B$9)=2039,Inputs!$B$113/Inputs!$B$100,(2050-Inputs!$B$9)=2040,Inputs!$B$114/Inputs!$B$101)))</f>
        <v>0.432371486587582</v>
      </c>
      <c r="AC27" s="39" t="n">
        <f aca="false">IF((2051-Inputs!$B$9)&lt;2028,0,IF((2051-Inputs!$B$9)&gt;2040,Inputs!$B$114/Inputs!$B$101,_xlfn.IFS((2051-Inputs!$B$9)=2028,Inputs!$B$102/Inputs!$B$89,(2051-Inputs!$B$9)=2029,Inputs!$B$103/Inputs!$B$90,(2051-Inputs!$B$9)=2030,Inputs!$B$104/Inputs!$B$91,(2051-Inputs!$B$9)=2031,Inputs!$B$105/Inputs!$B$92,(2051-Inputs!$B$9)=2032,Inputs!$B$106/Inputs!$B$93,(2051-Inputs!$B$9)=2033,Inputs!$B$107/Inputs!$B$94,(2051-Inputs!$B$9)=2034,Inputs!$B$108/Inputs!$B$95,(2051-Inputs!$B$9)=2035,Inputs!$B$109/Inputs!$B$96,(2051-Inputs!$B$9)=2036,Inputs!$B$110/Inputs!$B$97,(2051-Inputs!$B$9)=2037,Inputs!$B$111/Inputs!$B$98,(2051-Inputs!$B$9)=2038,Inputs!$B$112/Inputs!$B$99,(2051-Inputs!$B$9)=2039,Inputs!$B$113/Inputs!$B$100,(2051-Inputs!$B$9)=2040,Inputs!$B$114/Inputs!$B$101)))</f>
        <v>0.432371486587582</v>
      </c>
      <c r="AD27" s="39" t="n">
        <f aca="false">IF((2052-Inputs!$B$9)&lt;2028,0,IF((2052-Inputs!$B$9)&gt;2040,Inputs!$B$114/Inputs!$B$101,_xlfn.IFS((2052-Inputs!$B$9)=2028,Inputs!$B$102/Inputs!$B$89,(2052-Inputs!$B$9)=2029,Inputs!$B$103/Inputs!$B$90,(2052-Inputs!$B$9)=2030,Inputs!$B$104/Inputs!$B$91,(2052-Inputs!$B$9)=2031,Inputs!$B$105/Inputs!$B$92,(2052-Inputs!$B$9)=2032,Inputs!$B$106/Inputs!$B$93,(2052-Inputs!$B$9)=2033,Inputs!$B$107/Inputs!$B$94,(2052-Inputs!$B$9)=2034,Inputs!$B$108/Inputs!$B$95,(2052-Inputs!$B$9)=2035,Inputs!$B$109/Inputs!$B$96,(2052-Inputs!$B$9)=2036,Inputs!$B$110/Inputs!$B$97,(2052-Inputs!$B$9)=2037,Inputs!$B$111/Inputs!$B$98,(2052-Inputs!$B$9)=2038,Inputs!$B$112/Inputs!$B$99,(2052-Inputs!$B$9)=2039,Inputs!$B$113/Inputs!$B$100,(2052-Inputs!$B$9)=2040,Inputs!$B$114/Inputs!$B$101)))</f>
        <v>0.432371486587582</v>
      </c>
      <c r="AE27" s="39" t="n">
        <f aca="false">IF((2053-Inputs!$B$9)&lt;2028,0,IF((2053-Inputs!$B$9)&gt;2040,Inputs!$B$114/Inputs!$B$101,_xlfn.IFS((2053-Inputs!$B$9)=2028,Inputs!$B$102/Inputs!$B$89,(2053-Inputs!$B$9)=2029,Inputs!$B$103/Inputs!$B$90,(2053-Inputs!$B$9)=2030,Inputs!$B$104/Inputs!$B$91,(2053-Inputs!$B$9)=2031,Inputs!$B$105/Inputs!$B$92,(2053-Inputs!$B$9)=2032,Inputs!$B$106/Inputs!$B$93,(2053-Inputs!$B$9)=2033,Inputs!$B$107/Inputs!$B$94,(2053-Inputs!$B$9)=2034,Inputs!$B$108/Inputs!$B$95,(2053-Inputs!$B$9)=2035,Inputs!$B$109/Inputs!$B$96,(2053-Inputs!$B$9)=2036,Inputs!$B$110/Inputs!$B$97,(2053-Inputs!$B$9)=2037,Inputs!$B$111/Inputs!$B$98,(2053-Inputs!$B$9)=2038,Inputs!$B$112/Inputs!$B$99,(2053-Inputs!$B$9)=2039,Inputs!$B$113/Inputs!$B$100,(2053-Inputs!$B$9)=2040,Inputs!$B$114/Inputs!$B$101)))</f>
        <v>0.432371486587582</v>
      </c>
      <c r="AF27" s="39" t="n">
        <f aca="false">IF((2054-Inputs!$B$9)&lt;2028,0,IF((2054-Inputs!$B$9)&gt;2040,Inputs!$B$114/Inputs!$B$101,_xlfn.IFS((2054-Inputs!$B$9)=2028,Inputs!$B$102/Inputs!$B$89,(2054-Inputs!$B$9)=2029,Inputs!$B$103/Inputs!$B$90,(2054-Inputs!$B$9)=2030,Inputs!$B$104/Inputs!$B$91,(2054-Inputs!$B$9)=2031,Inputs!$B$105/Inputs!$B$92,(2054-Inputs!$B$9)=2032,Inputs!$B$106/Inputs!$B$93,(2054-Inputs!$B$9)=2033,Inputs!$B$107/Inputs!$B$94,(2054-Inputs!$B$9)=2034,Inputs!$B$108/Inputs!$B$95,(2054-Inputs!$B$9)=2035,Inputs!$B$109/Inputs!$B$96,(2054-Inputs!$B$9)=2036,Inputs!$B$110/Inputs!$B$97,(2054-Inputs!$B$9)=2037,Inputs!$B$111/Inputs!$B$98,(2054-Inputs!$B$9)=2038,Inputs!$B$112/Inputs!$B$99,(2054-Inputs!$B$9)=2039,Inputs!$B$113/Inputs!$B$100,(2054-Inputs!$B$9)=2040,Inputs!$B$114/Inputs!$B$101)))</f>
        <v>0.432371486587582</v>
      </c>
      <c r="AG27" s="39" t="n">
        <f aca="false">IF((2055-Inputs!$B$9)&lt;2028,0,IF((2055-Inputs!$B$9)&gt;2040,Inputs!$B$114/Inputs!$B$101,_xlfn.IFS((2055-Inputs!$B$9)=2028,Inputs!$B$102/Inputs!$B$89,(2055-Inputs!$B$9)=2029,Inputs!$B$103/Inputs!$B$90,(2055-Inputs!$B$9)=2030,Inputs!$B$104/Inputs!$B$91,(2055-Inputs!$B$9)=2031,Inputs!$B$105/Inputs!$B$92,(2055-Inputs!$B$9)=2032,Inputs!$B$106/Inputs!$B$93,(2055-Inputs!$B$9)=2033,Inputs!$B$107/Inputs!$B$94,(2055-Inputs!$B$9)=2034,Inputs!$B$108/Inputs!$B$95,(2055-Inputs!$B$9)=2035,Inputs!$B$109/Inputs!$B$96,(2055-Inputs!$B$9)=2036,Inputs!$B$110/Inputs!$B$97,(2055-Inputs!$B$9)=2037,Inputs!$B$111/Inputs!$B$98,(2055-Inputs!$B$9)=2038,Inputs!$B$112/Inputs!$B$99,(2055-Inputs!$B$9)=2039,Inputs!$B$113/Inputs!$B$100,(2055-Inputs!$B$9)=2040,Inputs!$B$114/Inputs!$B$101)))</f>
        <v>0.432371486587582</v>
      </c>
      <c r="AH27" s="39" t="n">
        <f aca="false">IF((2056-Inputs!$B$9)&lt;2028,0,IF((2056-Inputs!$B$9)&gt;2040,Inputs!$B$114/Inputs!$B$101,_xlfn.IFS((2056-Inputs!$B$9)=2028,Inputs!$B$102/Inputs!$B$89,(2056-Inputs!$B$9)=2029,Inputs!$B$103/Inputs!$B$90,(2056-Inputs!$B$9)=2030,Inputs!$B$104/Inputs!$B$91,(2056-Inputs!$B$9)=2031,Inputs!$B$105/Inputs!$B$92,(2056-Inputs!$B$9)=2032,Inputs!$B$106/Inputs!$B$93,(2056-Inputs!$B$9)=2033,Inputs!$B$107/Inputs!$B$94,(2056-Inputs!$B$9)=2034,Inputs!$B$108/Inputs!$B$95,(2056-Inputs!$B$9)=2035,Inputs!$B$109/Inputs!$B$96,(2056-Inputs!$B$9)=2036,Inputs!$B$110/Inputs!$B$97,(2056-Inputs!$B$9)=2037,Inputs!$B$111/Inputs!$B$98,(2056-Inputs!$B$9)=2038,Inputs!$B$112/Inputs!$B$99,(2056-Inputs!$B$9)=2039,Inputs!$B$113/Inputs!$B$100,(2056-Inputs!$B$9)=2040,Inputs!$B$114/Inputs!$B$101)))</f>
        <v>0.432371486587582</v>
      </c>
      <c r="AI27" s="39" t="n">
        <f aca="false">IF((2057-Inputs!$B$9)&lt;2028,0,IF((2057-Inputs!$B$9)&gt;2040,Inputs!$B$114/Inputs!$B$101,_xlfn.IFS((2057-Inputs!$B$9)=2028,Inputs!$B$102/Inputs!$B$89,(2057-Inputs!$B$9)=2029,Inputs!$B$103/Inputs!$B$90,(2057-Inputs!$B$9)=2030,Inputs!$B$104/Inputs!$B$91,(2057-Inputs!$B$9)=2031,Inputs!$B$105/Inputs!$B$92,(2057-Inputs!$B$9)=2032,Inputs!$B$106/Inputs!$B$93,(2057-Inputs!$B$9)=2033,Inputs!$B$107/Inputs!$B$94,(2057-Inputs!$B$9)=2034,Inputs!$B$108/Inputs!$B$95,(2057-Inputs!$B$9)=2035,Inputs!$B$109/Inputs!$B$96,(2057-Inputs!$B$9)=2036,Inputs!$B$110/Inputs!$B$97,(2057-Inputs!$B$9)=2037,Inputs!$B$111/Inputs!$B$98,(2057-Inputs!$B$9)=2038,Inputs!$B$112/Inputs!$B$99,(2057-Inputs!$B$9)=2039,Inputs!$B$113/Inputs!$B$100,(2057-Inputs!$B$9)=2040,Inputs!$B$114/Inputs!$B$101)))</f>
        <v>0.432371486587582</v>
      </c>
      <c r="AJ27" s="39" t="n">
        <f aca="false">IF((2058-Inputs!$B$9)&lt;2028,0,IF((2058-Inputs!$B$9)&gt;2040,Inputs!$B$114/Inputs!$B$101,_xlfn.IFS((2058-Inputs!$B$9)=2028,Inputs!$B$102/Inputs!$B$89,(2058-Inputs!$B$9)=2029,Inputs!$B$103/Inputs!$B$90,(2058-Inputs!$B$9)=2030,Inputs!$B$104/Inputs!$B$91,(2058-Inputs!$B$9)=2031,Inputs!$B$105/Inputs!$B$92,(2058-Inputs!$B$9)=2032,Inputs!$B$106/Inputs!$B$93,(2058-Inputs!$B$9)=2033,Inputs!$B$107/Inputs!$B$94,(2058-Inputs!$B$9)=2034,Inputs!$B$108/Inputs!$B$95,(2058-Inputs!$B$9)=2035,Inputs!$B$109/Inputs!$B$96,(2058-Inputs!$B$9)=2036,Inputs!$B$110/Inputs!$B$97,(2058-Inputs!$B$9)=2037,Inputs!$B$111/Inputs!$B$98,(2058-Inputs!$B$9)=2038,Inputs!$B$112/Inputs!$B$99,(2058-Inputs!$B$9)=2039,Inputs!$B$113/Inputs!$B$100,(2058-Inputs!$B$9)=2040,Inputs!$B$114/Inputs!$B$101)))</f>
        <v>0.432371486587582</v>
      </c>
      <c r="AK27" s="39" t="n">
        <f aca="false">IF((2059-Inputs!$B$9)&lt;2028,0,IF((2059-Inputs!$B$9)&gt;2040,Inputs!$B$114/Inputs!$B$101,_xlfn.IFS((2059-Inputs!$B$9)=2028,Inputs!$B$102/Inputs!$B$89,(2059-Inputs!$B$9)=2029,Inputs!$B$103/Inputs!$B$90,(2059-Inputs!$B$9)=2030,Inputs!$B$104/Inputs!$B$91,(2059-Inputs!$B$9)=2031,Inputs!$B$105/Inputs!$B$92,(2059-Inputs!$B$9)=2032,Inputs!$B$106/Inputs!$B$93,(2059-Inputs!$B$9)=2033,Inputs!$B$107/Inputs!$B$94,(2059-Inputs!$B$9)=2034,Inputs!$B$108/Inputs!$B$95,(2059-Inputs!$B$9)=2035,Inputs!$B$109/Inputs!$B$96,(2059-Inputs!$B$9)=2036,Inputs!$B$110/Inputs!$B$97,(2059-Inputs!$B$9)=2037,Inputs!$B$111/Inputs!$B$98,(2059-Inputs!$B$9)=2038,Inputs!$B$112/Inputs!$B$99,(2059-Inputs!$B$9)=2039,Inputs!$B$113/Inputs!$B$100,(2059-Inputs!$B$9)=2040,Inputs!$B$114/Inputs!$B$101)))</f>
        <v>0.432371486587582</v>
      </c>
      <c r="AL27" s="39" t="n">
        <f aca="false">IF((2060-Inputs!$B$9)&lt;2028,0,IF((2060-Inputs!$B$9)&gt;2040,Inputs!$B$114/Inputs!$B$101,_xlfn.IFS((2060-Inputs!$B$9)=2028,Inputs!$B$102/Inputs!$B$89,(2060-Inputs!$B$9)=2029,Inputs!$B$103/Inputs!$B$90,(2060-Inputs!$B$9)=2030,Inputs!$B$104/Inputs!$B$91,(2060-Inputs!$B$9)=2031,Inputs!$B$105/Inputs!$B$92,(2060-Inputs!$B$9)=2032,Inputs!$B$106/Inputs!$B$93,(2060-Inputs!$B$9)=2033,Inputs!$B$107/Inputs!$B$94,(2060-Inputs!$B$9)=2034,Inputs!$B$108/Inputs!$B$95,(2060-Inputs!$B$9)=2035,Inputs!$B$109/Inputs!$B$96,(2060-Inputs!$B$9)=2036,Inputs!$B$110/Inputs!$B$97,(2060-Inputs!$B$9)=2037,Inputs!$B$111/Inputs!$B$98,(2060-Inputs!$B$9)=2038,Inputs!$B$112/Inputs!$B$99,(2060-Inputs!$B$9)=2039,Inputs!$B$113/Inputs!$B$100,(2060-Inputs!$B$9)=2040,Inputs!$B$114/Inputs!$B$101)))</f>
        <v>0.432371486587582</v>
      </c>
      <c r="AM27" s="39" t="n">
        <f aca="false">IF((2061-Inputs!$B$9)&lt;2028,0,IF((2061-Inputs!$B$9)&gt;2040,Inputs!$B$114/Inputs!$B$101,_xlfn.IFS((2061-Inputs!$B$9)=2028,Inputs!$B$102/Inputs!$B$89,(2061-Inputs!$B$9)=2029,Inputs!$B$103/Inputs!$B$90,(2061-Inputs!$B$9)=2030,Inputs!$B$104/Inputs!$B$91,(2061-Inputs!$B$9)=2031,Inputs!$B$105/Inputs!$B$92,(2061-Inputs!$B$9)=2032,Inputs!$B$106/Inputs!$B$93,(2061-Inputs!$B$9)=2033,Inputs!$B$107/Inputs!$B$94,(2061-Inputs!$B$9)=2034,Inputs!$B$108/Inputs!$B$95,(2061-Inputs!$B$9)=2035,Inputs!$B$109/Inputs!$B$96,(2061-Inputs!$B$9)=2036,Inputs!$B$110/Inputs!$B$97,(2061-Inputs!$B$9)=2037,Inputs!$B$111/Inputs!$B$98,(2061-Inputs!$B$9)=2038,Inputs!$B$112/Inputs!$B$99,(2061-Inputs!$B$9)=2039,Inputs!$B$113/Inputs!$B$100,(2061-Inputs!$B$9)=2040,Inputs!$B$114/Inputs!$B$101)))</f>
        <v>0.432371486587582</v>
      </c>
      <c r="AN27" s="39" t="n">
        <f aca="false">IF((2062-Inputs!$B$9)&lt;2028,0,IF((2062-Inputs!$B$9)&gt;2040,Inputs!$B$114/Inputs!$B$101,_xlfn.IFS((2062-Inputs!$B$9)=2028,Inputs!$B$102/Inputs!$B$89,(2062-Inputs!$B$9)=2029,Inputs!$B$103/Inputs!$B$90,(2062-Inputs!$B$9)=2030,Inputs!$B$104/Inputs!$B$91,(2062-Inputs!$B$9)=2031,Inputs!$B$105/Inputs!$B$92,(2062-Inputs!$B$9)=2032,Inputs!$B$106/Inputs!$B$93,(2062-Inputs!$B$9)=2033,Inputs!$B$107/Inputs!$B$94,(2062-Inputs!$B$9)=2034,Inputs!$B$108/Inputs!$B$95,(2062-Inputs!$B$9)=2035,Inputs!$B$109/Inputs!$B$96,(2062-Inputs!$B$9)=2036,Inputs!$B$110/Inputs!$B$97,(2062-Inputs!$B$9)=2037,Inputs!$B$111/Inputs!$B$98,(2062-Inputs!$B$9)=2038,Inputs!$B$112/Inputs!$B$99,(2062-Inputs!$B$9)=2039,Inputs!$B$113/Inputs!$B$100,(2062-Inputs!$B$9)=2040,Inputs!$B$114/Inputs!$B$101)))</f>
        <v>0.432371486587582</v>
      </c>
      <c r="AO27" s="39" t="n">
        <f aca="false">IF((2063-Inputs!$B$9)&lt;2028,0,IF((2063-Inputs!$B$9)&gt;2040,Inputs!$B$114/Inputs!$B$101,_xlfn.IFS((2063-Inputs!$B$9)=2028,Inputs!$B$102/Inputs!$B$89,(2063-Inputs!$B$9)=2029,Inputs!$B$103/Inputs!$B$90,(2063-Inputs!$B$9)=2030,Inputs!$B$104/Inputs!$B$91,(2063-Inputs!$B$9)=2031,Inputs!$B$105/Inputs!$B$92,(2063-Inputs!$B$9)=2032,Inputs!$B$106/Inputs!$B$93,(2063-Inputs!$B$9)=2033,Inputs!$B$107/Inputs!$B$94,(2063-Inputs!$B$9)=2034,Inputs!$B$108/Inputs!$B$95,(2063-Inputs!$B$9)=2035,Inputs!$B$109/Inputs!$B$96,(2063-Inputs!$B$9)=2036,Inputs!$B$110/Inputs!$B$97,(2063-Inputs!$B$9)=2037,Inputs!$B$111/Inputs!$B$98,(2063-Inputs!$B$9)=2038,Inputs!$B$112/Inputs!$B$99,(2063-Inputs!$B$9)=2039,Inputs!$B$113/Inputs!$B$100,(2063-Inputs!$B$9)=2040,Inputs!$B$114/Inputs!$B$101)))</f>
        <v>0.432371486587582</v>
      </c>
      <c r="AP27" s="39" t="n">
        <f aca="false">IF((2064-Inputs!$B$9)&lt;2028,0,IF((2064-Inputs!$B$9)&gt;2040,Inputs!$B$114/Inputs!$B$101,_xlfn.IFS((2064-Inputs!$B$9)=2028,Inputs!$B$102/Inputs!$B$89,(2064-Inputs!$B$9)=2029,Inputs!$B$103/Inputs!$B$90,(2064-Inputs!$B$9)=2030,Inputs!$B$104/Inputs!$B$91,(2064-Inputs!$B$9)=2031,Inputs!$B$105/Inputs!$B$92,(2064-Inputs!$B$9)=2032,Inputs!$B$106/Inputs!$B$93,(2064-Inputs!$B$9)=2033,Inputs!$B$107/Inputs!$B$94,(2064-Inputs!$B$9)=2034,Inputs!$B$108/Inputs!$B$95,(2064-Inputs!$B$9)=2035,Inputs!$B$109/Inputs!$B$96,(2064-Inputs!$B$9)=2036,Inputs!$B$110/Inputs!$B$97,(2064-Inputs!$B$9)=2037,Inputs!$B$111/Inputs!$B$98,(2064-Inputs!$B$9)=2038,Inputs!$B$112/Inputs!$B$99,(2064-Inputs!$B$9)=2039,Inputs!$B$113/Inputs!$B$100,(2064-Inputs!$B$9)=2040,Inputs!$B$114/Inputs!$B$101)))</f>
        <v>0.432371486587582</v>
      </c>
      <c r="AQ27" s="39" t="n">
        <f aca="false">IF((2065-Inputs!$B$9)&lt;2028,0,IF((2065-Inputs!$B$9)&gt;2040,Inputs!$B$114/Inputs!$B$101,_xlfn.IFS((2065-Inputs!$B$9)=2028,Inputs!$B$102/Inputs!$B$89,(2065-Inputs!$B$9)=2029,Inputs!$B$103/Inputs!$B$90,(2065-Inputs!$B$9)=2030,Inputs!$B$104/Inputs!$B$91,(2065-Inputs!$B$9)=2031,Inputs!$B$105/Inputs!$B$92,(2065-Inputs!$B$9)=2032,Inputs!$B$106/Inputs!$B$93,(2065-Inputs!$B$9)=2033,Inputs!$B$107/Inputs!$B$94,(2065-Inputs!$B$9)=2034,Inputs!$B$108/Inputs!$B$95,(2065-Inputs!$B$9)=2035,Inputs!$B$109/Inputs!$B$96,(2065-Inputs!$B$9)=2036,Inputs!$B$110/Inputs!$B$97,(2065-Inputs!$B$9)=2037,Inputs!$B$111/Inputs!$B$98,(2065-Inputs!$B$9)=2038,Inputs!$B$112/Inputs!$B$99,(2065-Inputs!$B$9)=2039,Inputs!$B$113/Inputs!$B$100,(2065-Inputs!$B$9)=2040,Inputs!$B$114/Inputs!$B$101)))</f>
        <v>0.432371486587582</v>
      </c>
      <c r="AR27" s="39" t="n">
        <f aca="false">IF((2066-Inputs!$B$9)&lt;2028,0,IF((2066-Inputs!$B$9)&gt;2040,Inputs!$B$114/Inputs!$B$101,_xlfn.IFS((2066-Inputs!$B$9)=2028,Inputs!$B$102/Inputs!$B$89,(2066-Inputs!$B$9)=2029,Inputs!$B$103/Inputs!$B$90,(2066-Inputs!$B$9)=2030,Inputs!$B$104/Inputs!$B$91,(2066-Inputs!$B$9)=2031,Inputs!$B$105/Inputs!$B$92,(2066-Inputs!$B$9)=2032,Inputs!$B$106/Inputs!$B$93,(2066-Inputs!$B$9)=2033,Inputs!$B$107/Inputs!$B$94,(2066-Inputs!$B$9)=2034,Inputs!$B$108/Inputs!$B$95,(2066-Inputs!$B$9)=2035,Inputs!$B$109/Inputs!$B$96,(2066-Inputs!$B$9)=2036,Inputs!$B$110/Inputs!$B$97,(2066-Inputs!$B$9)=2037,Inputs!$B$111/Inputs!$B$98,(2066-Inputs!$B$9)=2038,Inputs!$B$112/Inputs!$B$99,(2066-Inputs!$B$9)=2039,Inputs!$B$113/Inputs!$B$100,(2066-Inputs!$B$9)=2040,Inputs!$B$114/Inputs!$B$101)))</f>
        <v>0.432371486587582</v>
      </c>
      <c r="AS27" s="39" t="n">
        <f aca="false">IF((2067-Inputs!$B$9)&lt;2028,0,IF((2067-Inputs!$B$9)&gt;2040,Inputs!$B$114/Inputs!$B$101,_xlfn.IFS((2067-Inputs!$B$9)=2028,Inputs!$B$102/Inputs!$B$89,(2067-Inputs!$B$9)=2029,Inputs!$B$103/Inputs!$B$90,(2067-Inputs!$B$9)=2030,Inputs!$B$104/Inputs!$B$91,(2067-Inputs!$B$9)=2031,Inputs!$B$105/Inputs!$B$92,(2067-Inputs!$B$9)=2032,Inputs!$B$106/Inputs!$B$93,(2067-Inputs!$B$9)=2033,Inputs!$B$107/Inputs!$B$94,(2067-Inputs!$B$9)=2034,Inputs!$B$108/Inputs!$B$95,(2067-Inputs!$B$9)=2035,Inputs!$B$109/Inputs!$B$96,(2067-Inputs!$B$9)=2036,Inputs!$B$110/Inputs!$B$97,(2067-Inputs!$B$9)=2037,Inputs!$B$111/Inputs!$B$98,(2067-Inputs!$B$9)=2038,Inputs!$B$112/Inputs!$B$99,(2067-Inputs!$B$9)=2039,Inputs!$B$113/Inputs!$B$100,(2067-Inputs!$B$9)=2040,Inputs!$B$114/Inputs!$B$101)))</f>
        <v>0.432371486587582</v>
      </c>
      <c r="AT27" s="39" t="n">
        <f aca="false">IF((2068-Inputs!$B$9)&lt;2028,0,IF((2068-Inputs!$B$9)&gt;2040,Inputs!$B$114/Inputs!$B$101,_xlfn.IFS((2068-Inputs!$B$9)=2028,Inputs!$B$102/Inputs!$B$89,(2068-Inputs!$B$9)=2029,Inputs!$B$103/Inputs!$B$90,(2068-Inputs!$B$9)=2030,Inputs!$B$104/Inputs!$B$91,(2068-Inputs!$B$9)=2031,Inputs!$B$105/Inputs!$B$92,(2068-Inputs!$B$9)=2032,Inputs!$B$106/Inputs!$B$93,(2068-Inputs!$B$9)=2033,Inputs!$B$107/Inputs!$B$94,(2068-Inputs!$B$9)=2034,Inputs!$B$108/Inputs!$B$95,(2068-Inputs!$B$9)=2035,Inputs!$B$109/Inputs!$B$96,(2068-Inputs!$B$9)=2036,Inputs!$B$110/Inputs!$B$97,(2068-Inputs!$B$9)=2037,Inputs!$B$111/Inputs!$B$98,(2068-Inputs!$B$9)=2038,Inputs!$B$112/Inputs!$B$99,(2068-Inputs!$B$9)=2039,Inputs!$B$113/Inputs!$B$100,(2068-Inputs!$B$9)=2040,Inputs!$B$114/Inputs!$B$101)))</f>
        <v>0.432371486587582</v>
      </c>
      <c r="AU27" s="39" t="n">
        <f aca="false">IF((2069-Inputs!$B$9)&lt;2028,0,IF((2069-Inputs!$B$9)&gt;2040,Inputs!$B$114/Inputs!$B$101,_xlfn.IFS((2069-Inputs!$B$9)=2028,Inputs!$B$102/Inputs!$B$89,(2069-Inputs!$B$9)=2029,Inputs!$B$103/Inputs!$B$90,(2069-Inputs!$B$9)=2030,Inputs!$B$104/Inputs!$B$91,(2069-Inputs!$B$9)=2031,Inputs!$B$105/Inputs!$B$92,(2069-Inputs!$B$9)=2032,Inputs!$B$106/Inputs!$B$93,(2069-Inputs!$B$9)=2033,Inputs!$B$107/Inputs!$B$94,(2069-Inputs!$B$9)=2034,Inputs!$B$108/Inputs!$B$95,(2069-Inputs!$B$9)=2035,Inputs!$B$109/Inputs!$B$96,(2069-Inputs!$B$9)=2036,Inputs!$B$110/Inputs!$B$97,(2069-Inputs!$B$9)=2037,Inputs!$B$111/Inputs!$B$98,(2069-Inputs!$B$9)=2038,Inputs!$B$112/Inputs!$B$99,(2069-Inputs!$B$9)=2039,Inputs!$B$113/Inputs!$B$100,(2069-Inputs!$B$9)=2040,Inputs!$B$114/Inputs!$B$101)))</f>
        <v>0.432371486587582</v>
      </c>
      <c r="AV27" s="39" t="n">
        <f aca="false">IF((2070-Inputs!$B$9)&lt;2028,0,IF((2070-Inputs!$B$9)&gt;2040,Inputs!$B$114/Inputs!$B$101,_xlfn.IFS((2070-Inputs!$B$9)=2028,Inputs!$B$102/Inputs!$B$89,(2070-Inputs!$B$9)=2029,Inputs!$B$103/Inputs!$B$90,(2070-Inputs!$B$9)=2030,Inputs!$B$104/Inputs!$B$91,(2070-Inputs!$B$9)=2031,Inputs!$B$105/Inputs!$B$92,(2070-Inputs!$B$9)=2032,Inputs!$B$106/Inputs!$B$93,(2070-Inputs!$B$9)=2033,Inputs!$B$107/Inputs!$B$94,(2070-Inputs!$B$9)=2034,Inputs!$B$108/Inputs!$B$95,(2070-Inputs!$B$9)=2035,Inputs!$B$109/Inputs!$B$96,(2070-Inputs!$B$9)=2036,Inputs!$B$110/Inputs!$B$97,(2070-Inputs!$B$9)=2037,Inputs!$B$111/Inputs!$B$98,(2070-Inputs!$B$9)=2038,Inputs!$B$112/Inputs!$B$99,(2070-Inputs!$B$9)=2039,Inputs!$B$113/Inputs!$B$100,(2070-Inputs!$B$9)=2040,Inputs!$B$114/Inputs!$B$101)))</f>
        <v>0.432371486587582</v>
      </c>
      <c r="AW27" s="39" t="n">
        <f aca="false">IF((2071-Inputs!$B$9)&lt;2028,0,IF((2071-Inputs!$B$9)&gt;2040,Inputs!$B$114/Inputs!$B$101,_xlfn.IFS((2071-Inputs!$B$9)=2028,Inputs!$B$102/Inputs!$B$89,(2071-Inputs!$B$9)=2029,Inputs!$B$103/Inputs!$B$90,(2071-Inputs!$B$9)=2030,Inputs!$B$104/Inputs!$B$91,(2071-Inputs!$B$9)=2031,Inputs!$B$105/Inputs!$B$92,(2071-Inputs!$B$9)=2032,Inputs!$B$106/Inputs!$B$93,(2071-Inputs!$B$9)=2033,Inputs!$B$107/Inputs!$B$94,(2071-Inputs!$B$9)=2034,Inputs!$B$108/Inputs!$B$95,(2071-Inputs!$B$9)=2035,Inputs!$B$109/Inputs!$B$96,(2071-Inputs!$B$9)=2036,Inputs!$B$110/Inputs!$B$97,(2071-Inputs!$B$9)=2037,Inputs!$B$111/Inputs!$B$98,(2071-Inputs!$B$9)=2038,Inputs!$B$112/Inputs!$B$99,(2071-Inputs!$B$9)=2039,Inputs!$B$113/Inputs!$B$100,(2071-Inputs!$B$9)=2040,Inputs!$B$114/Inputs!$B$101)))</f>
        <v>0.432371486587582</v>
      </c>
      <c r="AX27" s="39" t="n">
        <f aca="false">IF((2072-Inputs!$B$9)&lt;2028,0,IF((2072-Inputs!$B$9)&gt;2040,Inputs!$B$114/Inputs!$B$101,_xlfn.IFS((2072-Inputs!$B$9)=2028,Inputs!$B$102/Inputs!$B$89,(2072-Inputs!$B$9)=2029,Inputs!$B$103/Inputs!$B$90,(2072-Inputs!$B$9)=2030,Inputs!$B$104/Inputs!$B$91,(2072-Inputs!$B$9)=2031,Inputs!$B$105/Inputs!$B$92,(2072-Inputs!$B$9)=2032,Inputs!$B$106/Inputs!$B$93,(2072-Inputs!$B$9)=2033,Inputs!$B$107/Inputs!$B$94,(2072-Inputs!$B$9)=2034,Inputs!$B$108/Inputs!$B$95,(2072-Inputs!$B$9)=2035,Inputs!$B$109/Inputs!$B$96,(2072-Inputs!$B$9)=2036,Inputs!$B$110/Inputs!$B$97,(2072-Inputs!$B$9)=2037,Inputs!$B$111/Inputs!$B$98,(2072-Inputs!$B$9)=2038,Inputs!$B$112/Inputs!$B$99,(2072-Inputs!$B$9)=2039,Inputs!$B$113/Inputs!$B$100,(2072-Inputs!$B$9)=2040,Inputs!$B$114/Inputs!$B$101)))</f>
        <v>0.432371486587582</v>
      </c>
      <c r="AY27" s="39" t="n">
        <f aca="false">IF((2073-Inputs!$B$9)&lt;2028,0,IF((2073-Inputs!$B$9)&gt;2040,Inputs!$B$114/Inputs!$B$101,_xlfn.IFS((2073-Inputs!$B$9)=2028,Inputs!$B$102/Inputs!$B$89,(2073-Inputs!$B$9)=2029,Inputs!$B$103/Inputs!$B$90,(2073-Inputs!$B$9)=2030,Inputs!$B$104/Inputs!$B$91,(2073-Inputs!$B$9)=2031,Inputs!$B$105/Inputs!$B$92,(2073-Inputs!$B$9)=2032,Inputs!$B$106/Inputs!$B$93,(2073-Inputs!$B$9)=2033,Inputs!$B$107/Inputs!$B$94,(2073-Inputs!$B$9)=2034,Inputs!$B$108/Inputs!$B$95,(2073-Inputs!$B$9)=2035,Inputs!$B$109/Inputs!$B$96,(2073-Inputs!$B$9)=2036,Inputs!$B$110/Inputs!$B$97,(2073-Inputs!$B$9)=2037,Inputs!$B$111/Inputs!$B$98,(2073-Inputs!$B$9)=2038,Inputs!$B$112/Inputs!$B$99,(2073-Inputs!$B$9)=2039,Inputs!$B$113/Inputs!$B$100,(2073-Inputs!$B$9)=2040,Inputs!$B$114/Inputs!$B$101)))</f>
        <v>0.432371486587582</v>
      </c>
      <c r="AZ27" s="39" t="n">
        <f aca="false">IF((2074-Inputs!$B$9)&lt;2028,0,IF((2074-Inputs!$B$9)&gt;2040,Inputs!$B$114/Inputs!$B$101,_xlfn.IFS((2074-Inputs!$B$9)=2028,Inputs!$B$102/Inputs!$B$89,(2074-Inputs!$B$9)=2029,Inputs!$B$103/Inputs!$B$90,(2074-Inputs!$B$9)=2030,Inputs!$B$104/Inputs!$B$91,(2074-Inputs!$B$9)=2031,Inputs!$B$105/Inputs!$B$92,(2074-Inputs!$B$9)=2032,Inputs!$B$106/Inputs!$B$93,(2074-Inputs!$B$9)=2033,Inputs!$B$107/Inputs!$B$94,(2074-Inputs!$B$9)=2034,Inputs!$B$108/Inputs!$B$95,(2074-Inputs!$B$9)=2035,Inputs!$B$109/Inputs!$B$96,(2074-Inputs!$B$9)=2036,Inputs!$B$110/Inputs!$B$97,(2074-Inputs!$B$9)=2037,Inputs!$B$111/Inputs!$B$98,(2074-Inputs!$B$9)=2038,Inputs!$B$112/Inputs!$B$99,(2074-Inputs!$B$9)=2039,Inputs!$B$113/Inputs!$B$100,(2074-Inputs!$B$9)=2040,Inputs!$B$114/Inputs!$B$101)))</f>
        <v>0.432371486587582</v>
      </c>
    </row>
    <row r="28" customFormat="false" ht="15" hidden="false" customHeight="false" outlineLevel="0" collapsed="false">
      <c r="A28" s="34" t="s">
        <v>136</v>
      </c>
      <c r="D28" s="40" t="n">
        <f aca="false">IF((2026-Inputs!$B$9)&lt;2028,0,IF((2026-Inputs!$B$9)&gt;2040,Inputs!$B$127*(1+Inputs!$B$166)^((2026-Inputs!$B$9)-2040),_xlfn.IFS((2026-Inputs!$B$9)=2028,Inputs!$B$115,(2026-Inputs!$B$9)=2029,Inputs!$B$116,(2026-Inputs!$B$9)=2030,Inputs!$B$117,(2026-Inputs!$B$9)=2031,Inputs!$B$118,(2026-Inputs!$B$9)=2032,Inputs!$B$119,(2026-Inputs!$B$9)=2033,Inputs!$B$120,(2026-Inputs!$B$9)=2034,Inputs!$B$121,(2026-Inputs!$B$9)=2035,Inputs!$B$122,(2026-Inputs!$B$9)=2036,Inputs!$B$123,(2026-Inputs!$B$9)=2037,Inputs!$B$124,(2026-Inputs!$B$9)=2038,Inputs!$B$125,(2026-Inputs!$B$9)=2039,Inputs!$B$126,(2026-Inputs!$B$9)=2040,Inputs!$B$127)))</f>
        <v>0</v>
      </c>
      <c r="E28" s="40" t="n">
        <f aca="false">IF((2027-Inputs!$B$9)&lt;2028,0,IF((2027-Inputs!$B$9)&gt;2040,Inputs!$B$127*(1+Inputs!$B$166)^((2027-Inputs!$B$9)-2040),_xlfn.IFS((2027-Inputs!$B$9)=2028,Inputs!$B$115,(2027-Inputs!$B$9)=2029,Inputs!$B$116,(2027-Inputs!$B$9)=2030,Inputs!$B$117,(2027-Inputs!$B$9)=2031,Inputs!$B$118,(2027-Inputs!$B$9)=2032,Inputs!$B$119,(2027-Inputs!$B$9)=2033,Inputs!$B$120,(2027-Inputs!$B$9)=2034,Inputs!$B$121,(2027-Inputs!$B$9)=2035,Inputs!$B$122,(2027-Inputs!$B$9)=2036,Inputs!$B$123,(2027-Inputs!$B$9)=2037,Inputs!$B$124,(2027-Inputs!$B$9)=2038,Inputs!$B$125,(2027-Inputs!$B$9)=2039,Inputs!$B$126,(2027-Inputs!$B$9)=2040,Inputs!$B$127)))</f>
        <v>0</v>
      </c>
      <c r="F28" s="40" t="n">
        <f aca="false">IF((2028-Inputs!$B$9)&lt;2028,0,IF((2028-Inputs!$B$9)&gt;2040,Inputs!$B$127*(1+Inputs!$B$166)^((2028-Inputs!$B$9)-2040),_xlfn.IFS((2028-Inputs!$B$9)=2028,Inputs!$B$115,(2028-Inputs!$B$9)=2029,Inputs!$B$116,(2028-Inputs!$B$9)=2030,Inputs!$B$117,(2028-Inputs!$B$9)=2031,Inputs!$B$118,(2028-Inputs!$B$9)=2032,Inputs!$B$119,(2028-Inputs!$B$9)=2033,Inputs!$B$120,(2028-Inputs!$B$9)=2034,Inputs!$B$121,(2028-Inputs!$B$9)=2035,Inputs!$B$122,(2028-Inputs!$B$9)=2036,Inputs!$B$123,(2028-Inputs!$B$9)=2037,Inputs!$B$124,(2028-Inputs!$B$9)=2038,Inputs!$B$125,(2028-Inputs!$B$9)=2039,Inputs!$B$126,(2028-Inputs!$B$9)=2040,Inputs!$B$127)))</f>
        <v>77.48</v>
      </c>
      <c r="G28" s="40" t="n">
        <f aca="false">IF((2029-Inputs!$B$9)&lt;2028,0,IF((2029-Inputs!$B$9)&gt;2040,Inputs!$B$127*(1+Inputs!$B$166)^((2029-Inputs!$B$9)-2040),_xlfn.IFS((2029-Inputs!$B$9)=2028,Inputs!$B$115,(2029-Inputs!$B$9)=2029,Inputs!$B$116,(2029-Inputs!$B$9)=2030,Inputs!$B$117,(2029-Inputs!$B$9)=2031,Inputs!$B$118,(2029-Inputs!$B$9)=2032,Inputs!$B$119,(2029-Inputs!$B$9)=2033,Inputs!$B$120,(2029-Inputs!$B$9)=2034,Inputs!$B$121,(2029-Inputs!$B$9)=2035,Inputs!$B$122,(2029-Inputs!$B$9)=2036,Inputs!$B$123,(2029-Inputs!$B$9)=2037,Inputs!$B$124,(2029-Inputs!$B$9)=2038,Inputs!$B$125,(2029-Inputs!$B$9)=2039,Inputs!$B$126,(2029-Inputs!$B$9)=2040,Inputs!$B$127)))</f>
        <v>80.33</v>
      </c>
      <c r="H28" s="40" t="n">
        <f aca="false">IF((2030-Inputs!$B$9)&lt;2028,0,IF((2030-Inputs!$B$9)&gt;2040,Inputs!$B$127*(1+Inputs!$B$166)^((2030-Inputs!$B$9)-2040),_xlfn.IFS((2030-Inputs!$B$9)=2028,Inputs!$B$115,(2030-Inputs!$B$9)=2029,Inputs!$B$116,(2030-Inputs!$B$9)=2030,Inputs!$B$117,(2030-Inputs!$B$9)=2031,Inputs!$B$118,(2030-Inputs!$B$9)=2032,Inputs!$B$119,(2030-Inputs!$B$9)=2033,Inputs!$B$120,(2030-Inputs!$B$9)=2034,Inputs!$B$121,(2030-Inputs!$B$9)=2035,Inputs!$B$122,(2030-Inputs!$B$9)=2036,Inputs!$B$123,(2030-Inputs!$B$9)=2037,Inputs!$B$124,(2030-Inputs!$B$9)=2038,Inputs!$B$125,(2030-Inputs!$B$9)=2039,Inputs!$B$126,(2030-Inputs!$B$9)=2040,Inputs!$B$127)))</f>
        <v>82.38</v>
      </c>
      <c r="I28" s="40" t="n">
        <f aca="false">IF((2031-Inputs!$B$9)&lt;2028,0,IF((2031-Inputs!$B$9)&gt;2040,Inputs!$B$127*(1+Inputs!$B$166)^((2031-Inputs!$B$9)-2040),_xlfn.IFS((2031-Inputs!$B$9)=2028,Inputs!$B$115,(2031-Inputs!$B$9)=2029,Inputs!$B$116,(2031-Inputs!$B$9)=2030,Inputs!$B$117,(2031-Inputs!$B$9)=2031,Inputs!$B$118,(2031-Inputs!$B$9)=2032,Inputs!$B$119,(2031-Inputs!$B$9)=2033,Inputs!$B$120,(2031-Inputs!$B$9)=2034,Inputs!$B$121,(2031-Inputs!$B$9)=2035,Inputs!$B$122,(2031-Inputs!$B$9)=2036,Inputs!$B$123,(2031-Inputs!$B$9)=2037,Inputs!$B$124,(2031-Inputs!$B$9)=2038,Inputs!$B$125,(2031-Inputs!$B$9)=2039,Inputs!$B$126,(2031-Inputs!$B$9)=2040,Inputs!$B$127)))</f>
        <v>83.53</v>
      </c>
      <c r="J28" s="40" t="n">
        <f aca="false">IF((2032-Inputs!$B$9)&lt;2028,0,IF((2032-Inputs!$B$9)&gt;2040,Inputs!$B$127*(1+Inputs!$B$166)^((2032-Inputs!$B$9)-2040),_xlfn.IFS((2032-Inputs!$B$9)=2028,Inputs!$B$115,(2032-Inputs!$B$9)=2029,Inputs!$B$116,(2032-Inputs!$B$9)=2030,Inputs!$B$117,(2032-Inputs!$B$9)=2031,Inputs!$B$118,(2032-Inputs!$B$9)=2032,Inputs!$B$119,(2032-Inputs!$B$9)=2033,Inputs!$B$120,(2032-Inputs!$B$9)=2034,Inputs!$B$121,(2032-Inputs!$B$9)=2035,Inputs!$B$122,(2032-Inputs!$B$9)=2036,Inputs!$B$123,(2032-Inputs!$B$9)=2037,Inputs!$B$124,(2032-Inputs!$B$9)=2038,Inputs!$B$125,(2032-Inputs!$B$9)=2039,Inputs!$B$126,(2032-Inputs!$B$9)=2040,Inputs!$B$127)))</f>
        <v>85.44</v>
      </c>
      <c r="K28" s="40" t="n">
        <f aca="false">IF((2033-Inputs!$B$9)&lt;2028,0,IF((2033-Inputs!$B$9)&gt;2040,Inputs!$B$127*(1+Inputs!$B$166)^((2033-Inputs!$B$9)-2040),_xlfn.IFS((2033-Inputs!$B$9)=2028,Inputs!$B$115,(2033-Inputs!$B$9)=2029,Inputs!$B$116,(2033-Inputs!$B$9)=2030,Inputs!$B$117,(2033-Inputs!$B$9)=2031,Inputs!$B$118,(2033-Inputs!$B$9)=2032,Inputs!$B$119,(2033-Inputs!$B$9)=2033,Inputs!$B$120,(2033-Inputs!$B$9)=2034,Inputs!$B$121,(2033-Inputs!$B$9)=2035,Inputs!$B$122,(2033-Inputs!$B$9)=2036,Inputs!$B$123,(2033-Inputs!$B$9)=2037,Inputs!$B$124,(2033-Inputs!$B$9)=2038,Inputs!$B$125,(2033-Inputs!$B$9)=2039,Inputs!$B$126,(2033-Inputs!$B$9)=2040,Inputs!$B$127)))</f>
        <v>87.39</v>
      </c>
      <c r="L28" s="40" t="n">
        <f aca="false">IF((2034-Inputs!$B$9)&lt;2028,0,IF((2034-Inputs!$B$9)&gt;2040,Inputs!$B$127*(1+Inputs!$B$166)^((2034-Inputs!$B$9)-2040),_xlfn.IFS((2034-Inputs!$B$9)=2028,Inputs!$B$115,(2034-Inputs!$B$9)=2029,Inputs!$B$116,(2034-Inputs!$B$9)=2030,Inputs!$B$117,(2034-Inputs!$B$9)=2031,Inputs!$B$118,(2034-Inputs!$B$9)=2032,Inputs!$B$119,(2034-Inputs!$B$9)=2033,Inputs!$B$120,(2034-Inputs!$B$9)=2034,Inputs!$B$121,(2034-Inputs!$B$9)=2035,Inputs!$B$122,(2034-Inputs!$B$9)=2036,Inputs!$B$123,(2034-Inputs!$B$9)=2037,Inputs!$B$124,(2034-Inputs!$B$9)=2038,Inputs!$B$125,(2034-Inputs!$B$9)=2039,Inputs!$B$126,(2034-Inputs!$B$9)=2040,Inputs!$B$127)))</f>
        <v>89.39</v>
      </c>
      <c r="M28" s="40" t="n">
        <f aca="false">IF((2035-Inputs!$B$9)&lt;2028,0,IF((2035-Inputs!$B$9)&gt;2040,Inputs!$B$127*(1+Inputs!$B$166)^((2035-Inputs!$B$9)-2040),_xlfn.IFS((2035-Inputs!$B$9)=2028,Inputs!$B$115,(2035-Inputs!$B$9)=2029,Inputs!$B$116,(2035-Inputs!$B$9)=2030,Inputs!$B$117,(2035-Inputs!$B$9)=2031,Inputs!$B$118,(2035-Inputs!$B$9)=2032,Inputs!$B$119,(2035-Inputs!$B$9)=2033,Inputs!$B$120,(2035-Inputs!$B$9)=2034,Inputs!$B$121,(2035-Inputs!$B$9)=2035,Inputs!$B$122,(2035-Inputs!$B$9)=2036,Inputs!$B$123,(2035-Inputs!$B$9)=2037,Inputs!$B$124,(2035-Inputs!$B$9)=2038,Inputs!$B$125,(2035-Inputs!$B$9)=2039,Inputs!$B$126,(2035-Inputs!$B$9)=2040,Inputs!$B$127)))</f>
        <v>91.44</v>
      </c>
      <c r="N28" s="40" t="n">
        <f aca="false">IF((2036-Inputs!$B$9)&lt;2028,0,IF((2036-Inputs!$B$9)&gt;2040,Inputs!$B$127*(1+Inputs!$B$166)^((2036-Inputs!$B$9)-2040),_xlfn.IFS((2036-Inputs!$B$9)=2028,Inputs!$B$115,(2036-Inputs!$B$9)=2029,Inputs!$B$116,(2036-Inputs!$B$9)=2030,Inputs!$B$117,(2036-Inputs!$B$9)=2031,Inputs!$B$118,(2036-Inputs!$B$9)=2032,Inputs!$B$119,(2036-Inputs!$B$9)=2033,Inputs!$B$120,(2036-Inputs!$B$9)=2034,Inputs!$B$121,(2036-Inputs!$B$9)=2035,Inputs!$B$122,(2036-Inputs!$B$9)=2036,Inputs!$B$123,(2036-Inputs!$B$9)=2037,Inputs!$B$124,(2036-Inputs!$B$9)=2038,Inputs!$B$125,(2036-Inputs!$B$9)=2039,Inputs!$B$126,(2036-Inputs!$B$9)=2040,Inputs!$B$127)))</f>
        <v>93.54</v>
      </c>
      <c r="O28" s="40" t="n">
        <f aca="false">IF((2037-Inputs!$B$9)&lt;2028,0,IF((2037-Inputs!$B$9)&gt;2040,Inputs!$B$127*(1+Inputs!$B$166)^((2037-Inputs!$B$9)-2040),_xlfn.IFS((2037-Inputs!$B$9)=2028,Inputs!$B$115,(2037-Inputs!$B$9)=2029,Inputs!$B$116,(2037-Inputs!$B$9)=2030,Inputs!$B$117,(2037-Inputs!$B$9)=2031,Inputs!$B$118,(2037-Inputs!$B$9)=2032,Inputs!$B$119,(2037-Inputs!$B$9)=2033,Inputs!$B$120,(2037-Inputs!$B$9)=2034,Inputs!$B$121,(2037-Inputs!$B$9)=2035,Inputs!$B$122,(2037-Inputs!$B$9)=2036,Inputs!$B$123,(2037-Inputs!$B$9)=2037,Inputs!$B$124,(2037-Inputs!$B$9)=2038,Inputs!$B$125,(2037-Inputs!$B$9)=2039,Inputs!$B$126,(2037-Inputs!$B$9)=2040,Inputs!$B$127)))</f>
        <v>95.69</v>
      </c>
      <c r="P28" s="40" t="n">
        <f aca="false">IF((2038-Inputs!$B$9)&lt;2028,0,IF((2038-Inputs!$B$9)&gt;2040,Inputs!$B$127*(1+Inputs!$B$166)^((2038-Inputs!$B$9)-2040),_xlfn.IFS((2038-Inputs!$B$9)=2028,Inputs!$B$115,(2038-Inputs!$B$9)=2029,Inputs!$B$116,(2038-Inputs!$B$9)=2030,Inputs!$B$117,(2038-Inputs!$B$9)=2031,Inputs!$B$118,(2038-Inputs!$B$9)=2032,Inputs!$B$119,(2038-Inputs!$B$9)=2033,Inputs!$B$120,(2038-Inputs!$B$9)=2034,Inputs!$B$121,(2038-Inputs!$B$9)=2035,Inputs!$B$122,(2038-Inputs!$B$9)=2036,Inputs!$B$123,(2038-Inputs!$B$9)=2037,Inputs!$B$124,(2038-Inputs!$B$9)=2038,Inputs!$B$125,(2038-Inputs!$B$9)=2039,Inputs!$B$126,(2038-Inputs!$B$9)=2040,Inputs!$B$127)))</f>
        <v>97.9</v>
      </c>
      <c r="Q28" s="40" t="n">
        <f aca="false">IF((2039-Inputs!$B$9)&lt;2028,0,IF((2039-Inputs!$B$9)&gt;2040,Inputs!$B$127*(1+Inputs!$B$166)^((2039-Inputs!$B$9)-2040),_xlfn.IFS((2039-Inputs!$B$9)=2028,Inputs!$B$115,(2039-Inputs!$B$9)=2029,Inputs!$B$116,(2039-Inputs!$B$9)=2030,Inputs!$B$117,(2039-Inputs!$B$9)=2031,Inputs!$B$118,(2039-Inputs!$B$9)=2032,Inputs!$B$119,(2039-Inputs!$B$9)=2033,Inputs!$B$120,(2039-Inputs!$B$9)=2034,Inputs!$B$121,(2039-Inputs!$B$9)=2035,Inputs!$B$122,(2039-Inputs!$B$9)=2036,Inputs!$B$123,(2039-Inputs!$B$9)=2037,Inputs!$B$124,(2039-Inputs!$B$9)=2038,Inputs!$B$125,(2039-Inputs!$B$9)=2039,Inputs!$B$126,(2039-Inputs!$B$9)=2040,Inputs!$B$127)))</f>
        <v>100.16</v>
      </c>
      <c r="R28" s="40" t="n">
        <f aca="false">IF((2040-Inputs!$B$9)&lt;2028,0,IF((2040-Inputs!$B$9)&gt;2040,Inputs!$B$127*(1+Inputs!$B$166)^((2040-Inputs!$B$9)-2040),_xlfn.IFS((2040-Inputs!$B$9)=2028,Inputs!$B$115,(2040-Inputs!$B$9)=2029,Inputs!$B$116,(2040-Inputs!$B$9)=2030,Inputs!$B$117,(2040-Inputs!$B$9)=2031,Inputs!$B$118,(2040-Inputs!$B$9)=2032,Inputs!$B$119,(2040-Inputs!$B$9)=2033,Inputs!$B$120,(2040-Inputs!$B$9)=2034,Inputs!$B$121,(2040-Inputs!$B$9)=2035,Inputs!$B$122,(2040-Inputs!$B$9)=2036,Inputs!$B$123,(2040-Inputs!$B$9)=2037,Inputs!$B$124,(2040-Inputs!$B$9)=2038,Inputs!$B$125,(2040-Inputs!$B$9)=2039,Inputs!$B$126,(2040-Inputs!$B$9)=2040,Inputs!$B$127)))</f>
        <v>102.49</v>
      </c>
      <c r="S28" s="40" t="n">
        <f aca="false">IF((2041-Inputs!$B$9)&lt;2028,0,IF((2041-Inputs!$B$9)&gt;2040,Inputs!$B$127*(1+Inputs!$B$166)^((2041-Inputs!$B$9)-2040),_xlfn.IFS((2041-Inputs!$B$9)=2028,Inputs!$B$115,(2041-Inputs!$B$9)=2029,Inputs!$B$116,(2041-Inputs!$B$9)=2030,Inputs!$B$117,(2041-Inputs!$B$9)=2031,Inputs!$B$118,(2041-Inputs!$B$9)=2032,Inputs!$B$119,(2041-Inputs!$B$9)=2033,Inputs!$B$120,(2041-Inputs!$B$9)=2034,Inputs!$B$121,(2041-Inputs!$B$9)=2035,Inputs!$B$122,(2041-Inputs!$B$9)=2036,Inputs!$B$123,(2041-Inputs!$B$9)=2037,Inputs!$B$124,(2041-Inputs!$B$9)=2038,Inputs!$B$125,(2041-Inputs!$B$9)=2039,Inputs!$B$126,(2041-Inputs!$B$9)=2040,Inputs!$B$127)))</f>
        <v>105.05225</v>
      </c>
      <c r="T28" s="40" t="n">
        <f aca="false">IF((2042-Inputs!$B$9)&lt;2028,0,IF((2042-Inputs!$B$9)&gt;2040,Inputs!$B$127*(1+Inputs!$B$166)^((2042-Inputs!$B$9)-2040),_xlfn.IFS((2042-Inputs!$B$9)=2028,Inputs!$B$115,(2042-Inputs!$B$9)=2029,Inputs!$B$116,(2042-Inputs!$B$9)=2030,Inputs!$B$117,(2042-Inputs!$B$9)=2031,Inputs!$B$118,(2042-Inputs!$B$9)=2032,Inputs!$B$119,(2042-Inputs!$B$9)=2033,Inputs!$B$120,(2042-Inputs!$B$9)=2034,Inputs!$B$121,(2042-Inputs!$B$9)=2035,Inputs!$B$122,(2042-Inputs!$B$9)=2036,Inputs!$B$123,(2042-Inputs!$B$9)=2037,Inputs!$B$124,(2042-Inputs!$B$9)=2038,Inputs!$B$125,(2042-Inputs!$B$9)=2039,Inputs!$B$126,(2042-Inputs!$B$9)=2040,Inputs!$B$127)))</f>
        <v>107.67855625</v>
      </c>
      <c r="U28" s="40" t="n">
        <f aca="false">IF((2043-Inputs!$B$9)&lt;2028,0,IF((2043-Inputs!$B$9)&gt;2040,Inputs!$B$127*(1+Inputs!$B$166)^((2043-Inputs!$B$9)-2040),_xlfn.IFS((2043-Inputs!$B$9)=2028,Inputs!$B$115,(2043-Inputs!$B$9)=2029,Inputs!$B$116,(2043-Inputs!$B$9)=2030,Inputs!$B$117,(2043-Inputs!$B$9)=2031,Inputs!$B$118,(2043-Inputs!$B$9)=2032,Inputs!$B$119,(2043-Inputs!$B$9)=2033,Inputs!$B$120,(2043-Inputs!$B$9)=2034,Inputs!$B$121,(2043-Inputs!$B$9)=2035,Inputs!$B$122,(2043-Inputs!$B$9)=2036,Inputs!$B$123,(2043-Inputs!$B$9)=2037,Inputs!$B$124,(2043-Inputs!$B$9)=2038,Inputs!$B$125,(2043-Inputs!$B$9)=2039,Inputs!$B$126,(2043-Inputs!$B$9)=2040,Inputs!$B$127)))</f>
        <v>110.37052015625</v>
      </c>
      <c r="V28" s="40" t="n">
        <f aca="false">IF((2044-Inputs!$B$9)&lt;2028,0,IF((2044-Inputs!$B$9)&gt;2040,Inputs!$B$127*(1+Inputs!$B$166)^((2044-Inputs!$B$9)-2040),_xlfn.IFS((2044-Inputs!$B$9)=2028,Inputs!$B$115,(2044-Inputs!$B$9)=2029,Inputs!$B$116,(2044-Inputs!$B$9)=2030,Inputs!$B$117,(2044-Inputs!$B$9)=2031,Inputs!$B$118,(2044-Inputs!$B$9)=2032,Inputs!$B$119,(2044-Inputs!$B$9)=2033,Inputs!$B$120,(2044-Inputs!$B$9)=2034,Inputs!$B$121,(2044-Inputs!$B$9)=2035,Inputs!$B$122,(2044-Inputs!$B$9)=2036,Inputs!$B$123,(2044-Inputs!$B$9)=2037,Inputs!$B$124,(2044-Inputs!$B$9)=2038,Inputs!$B$125,(2044-Inputs!$B$9)=2039,Inputs!$B$126,(2044-Inputs!$B$9)=2040,Inputs!$B$127)))</f>
        <v>113.129783160156</v>
      </c>
      <c r="W28" s="40" t="n">
        <f aca="false">IF((2045-Inputs!$B$9)&lt;2028,0,IF((2045-Inputs!$B$9)&gt;2040,Inputs!$B$127*(1+Inputs!$B$166)^((2045-Inputs!$B$9)-2040),_xlfn.IFS((2045-Inputs!$B$9)=2028,Inputs!$B$115,(2045-Inputs!$B$9)=2029,Inputs!$B$116,(2045-Inputs!$B$9)=2030,Inputs!$B$117,(2045-Inputs!$B$9)=2031,Inputs!$B$118,(2045-Inputs!$B$9)=2032,Inputs!$B$119,(2045-Inputs!$B$9)=2033,Inputs!$B$120,(2045-Inputs!$B$9)=2034,Inputs!$B$121,(2045-Inputs!$B$9)=2035,Inputs!$B$122,(2045-Inputs!$B$9)=2036,Inputs!$B$123,(2045-Inputs!$B$9)=2037,Inputs!$B$124,(2045-Inputs!$B$9)=2038,Inputs!$B$125,(2045-Inputs!$B$9)=2039,Inputs!$B$126,(2045-Inputs!$B$9)=2040,Inputs!$B$127)))</f>
        <v>115.95802773916</v>
      </c>
      <c r="X28" s="40" t="n">
        <f aca="false">IF((2046-Inputs!$B$9)&lt;2028,0,IF((2046-Inputs!$B$9)&gt;2040,Inputs!$B$127*(1+Inputs!$B$166)^((2046-Inputs!$B$9)-2040),_xlfn.IFS((2046-Inputs!$B$9)=2028,Inputs!$B$115,(2046-Inputs!$B$9)=2029,Inputs!$B$116,(2046-Inputs!$B$9)=2030,Inputs!$B$117,(2046-Inputs!$B$9)=2031,Inputs!$B$118,(2046-Inputs!$B$9)=2032,Inputs!$B$119,(2046-Inputs!$B$9)=2033,Inputs!$B$120,(2046-Inputs!$B$9)=2034,Inputs!$B$121,(2046-Inputs!$B$9)=2035,Inputs!$B$122,(2046-Inputs!$B$9)=2036,Inputs!$B$123,(2046-Inputs!$B$9)=2037,Inputs!$B$124,(2046-Inputs!$B$9)=2038,Inputs!$B$125,(2046-Inputs!$B$9)=2039,Inputs!$B$126,(2046-Inputs!$B$9)=2040,Inputs!$B$127)))</f>
        <v>118.856978432639</v>
      </c>
      <c r="Y28" s="40" t="n">
        <f aca="false">IF((2047-Inputs!$B$9)&lt;2028,0,IF((2047-Inputs!$B$9)&gt;2040,Inputs!$B$127*(1+Inputs!$B$166)^((2047-Inputs!$B$9)-2040),_xlfn.IFS((2047-Inputs!$B$9)=2028,Inputs!$B$115,(2047-Inputs!$B$9)=2029,Inputs!$B$116,(2047-Inputs!$B$9)=2030,Inputs!$B$117,(2047-Inputs!$B$9)=2031,Inputs!$B$118,(2047-Inputs!$B$9)=2032,Inputs!$B$119,(2047-Inputs!$B$9)=2033,Inputs!$B$120,(2047-Inputs!$B$9)=2034,Inputs!$B$121,(2047-Inputs!$B$9)=2035,Inputs!$B$122,(2047-Inputs!$B$9)=2036,Inputs!$B$123,(2047-Inputs!$B$9)=2037,Inputs!$B$124,(2047-Inputs!$B$9)=2038,Inputs!$B$125,(2047-Inputs!$B$9)=2039,Inputs!$B$126,(2047-Inputs!$B$9)=2040,Inputs!$B$127)))</f>
        <v>121.828402893455</v>
      </c>
      <c r="Z28" s="40" t="n">
        <f aca="false">IF((2048-Inputs!$B$9)&lt;2028,0,IF((2048-Inputs!$B$9)&gt;2040,Inputs!$B$127*(1+Inputs!$B$166)^((2048-Inputs!$B$9)-2040),_xlfn.IFS((2048-Inputs!$B$9)=2028,Inputs!$B$115,(2048-Inputs!$B$9)=2029,Inputs!$B$116,(2048-Inputs!$B$9)=2030,Inputs!$B$117,(2048-Inputs!$B$9)=2031,Inputs!$B$118,(2048-Inputs!$B$9)=2032,Inputs!$B$119,(2048-Inputs!$B$9)=2033,Inputs!$B$120,(2048-Inputs!$B$9)=2034,Inputs!$B$121,(2048-Inputs!$B$9)=2035,Inputs!$B$122,(2048-Inputs!$B$9)=2036,Inputs!$B$123,(2048-Inputs!$B$9)=2037,Inputs!$B$124,(2048-Inputs!$B$9)=2038,Inputs!$B$125,(2048-Inputs!$B$9)=2039,Inputs!$B$126,(2048-Inputs!$B$9)=2040,Inputs!$B$127)))</f>
        <v>124.874112965791</v>
      </c>
      <c r="AA28" s="40" t="n">
        <f aca="false">IF((2049-Inputs!$B$9)&lt;2028,0,IF((2049-Inputs!$B$9)&gt;2040,Inputs!$B$127*(1+Inputs!$B$166)^((2049-Inputs!$B$9)-2040),_xlfn.IFS((2049-Inputs!$B$9)=2028,Inputs!$B$115,(2049-Inputs!$B$9)=2029,Inputs!$B$116,(2049-Inputs!$B$9)=2030,Inputs!$B$117,(2049-Inputs!$B$9)=2031,Inputs!$B$118,(2049-Inputs!$B$9)=2032,Inputs!$B$119,(2049-Inputs!$B$9)=2033,Inputs!$B$120,(2049-Inputs!$B$9)=2034,Inputs!$B$121,(2049-Inputs!$B$9)=2035,Inputs!$B$122,(2049-Inputs!$B$9)=2036,Inputs!$B$123,(2049-Inputs!$B$9)=2037,Inputs!$B$124,(2049-Inputs!$B$9)=2038,Inputs!$B$125,(2049-Inputs!$B$9)=2039,Inputs!$B$126,(2049-Inputs!$B$9)=2040,Inputs!$B$127)))</f>
        <v>127.995965789936</v>
      </c>
      <c r="AB28" s="40" t="n">
        <f aca="false">IF((2050-Inputs!$B$9)&lt;2028,0,IF((2050-Inputs!$B$9)&gt;2040,Inputs!$B$127*(1+Inputs!$B$166)^((2050-Inputs!$B$9)-2040),_xlfn.IFS((2050-Inputs!$B$9)=2028,Inputs!$B$115,(2050-Inputs!$B$9)=2029,Inputs!$B$116,(2050-Inputs!$B$9)=2030,Inputs!$B$117,(2050-Inputs!$B$9)=2031,Inputs!$B$118,(2050-Inputs!$B$9)=2032,Inputs!$B$119,(2050-Inputs!$B$9)=2033,Inputs!$B$120,(2050-Inputs!$B$9)=2034,Inputs!$B$121,(2050-Inputs!$B$9)=2035,Inputs!$B$122,(2050-Inputs!$B$9)=2036,Inputs!$B$123,(2050-Inputs!$B$9)=2037,Inputs!$B$124,(2050-Inputs!$B$9)=2038,Inputs!$B$125,(2050-Inputs!$B$9)=2039,Inputs!$B$126,(2050-Inputs!$B$9)=2040,Inputs!$B$127)))</f>
        <v>131.195864934685</v>
      </c>
      <c r="AC28" s="40" t="n">
        <f aca="false">IF((2051-Inputs!$B$9)&lt;2028,0,IF((2051-Inputs!$B$9)&gt;2040,Inputs!$B$127*(1+Inputs!$B$166)^((2051-Inputs!$B$9)-2040),_xlfn.IFS((2051-Inputs!$B$9)=2028,Inputs!$B$115,(2051-Inputs!$B$9)=2029,Inputs!$B$116,(2051-Inputs!$B$9)=2030,Inputs!$B$117,(2051-Inputs!$B$9)=2031,Inputs!$B$118,(2051-Inputs!$B$9)=2032,Inputs!$B$119,(2051-Inputs!$B$9)=2033,Inputs!$B$120,(2051-Inputs!$B$9)=2034,Inputs!$B$121,(2051-Inputs!$B$9)=2035,Inputs!$B$122,(2051-Inputs!$B$9)=2036,Inputs!$B$123,(2051-Inputs!$B$9)=2037,Inputs!$B$124,(2051-Inputs!$B$9)=2038,Inputs!$B$125,(2051-Inputs!$B$9)=2039,Inputs!$B$126,(2051-Inputs!$B$9)=2040,Inputs!$B$127)))</f>
        <v>134.475761558052</v>
      </c>
      <c r="AD28" s="40" t="n">
        <f aca="false">IF((2052-Inputs!$B$9)&lt;2028,0,IF((2052-Inputs!$B$9)&gt;2040,Inputs!$B$127*(1+Inputs!$B$166)^((2052-Inputs!$B$9)-2040),_xlfn.IFS((2052-Inputs!$B$9)=2028,Inputs!$B$115,(2052-Inputs!$B$9)=2029,Inputs!$B$116,(2052-Inputs!$B$9)=2030,Inputs!$B$117,(2052-Inputs!$B$9)=2031,Inputs!$B$118,(2052-Inputs!$B$9)=2032,Inputs!$B$119,(2052-Inputs!$B$9)=2033,Inputs!$B$120,(2052-Inputs!$B$9)=2034,Inputs!$B$121,(2052-Inputs!$B$9)=2035,Inputs!$B$122,(2052-Inputs!$B$9)=2036,Inputs!$B$123,(2052-Inputs!$B$9)=2037,Inputs!$B$124,(2052-Inputs!$B$9)=2038,Inputs!$B$125,(2052-Inputs!$B$9)=2039,Inputs!$B$126,(2052-Inputs!$B$9)=2040,Inputs!$B$127)))</f>
        <v>137.837655597003</v>
      </c>
      <c r="AE28" s="40" t="n">
        <f aca="false">IF((2053-Inputs!$B$9)&lt;2028,0,IF((2053-Inputs!$B$9)&gt;2040,Inputs!$B$127*(1+Inputs!$B$166)^((2053-Inputs!$B$9)-2040),_xlfn.IFS((2053-Inputs!$B$9)=2028,Inputs!$B$115,(2053-Inputs!$B$9)=2029,Inputs!$B$116,(2053-Inputs!$B$9)=2030,Inputs!$B$117,(2053-Inputs!$B$9)=2031,Inputs!$B$118,(2053-Inputs!$B$9)=2032,Inputs!$B$119,(2053-Inputs!$B$9)=2033,Inputs!$B$120,(2053-Inputs!$B$9)=2034,Inputs!$B$121,(2053-Inputs!$B$9)=2035,Inputs!$B$122,(2053-Inputs!$B$9)=2036,Inputs!$B$123,(2053-Inputs!$B$9)=2037,Inputs!$B$124,(2053-Inputs!$B$9)=2038,Inputs!$B$125,(2053-Inputs!$B$9)=2039,Inputs!$B$126,(2053-Inputs!$B$9)=2040,Inputs!$B$127)))</f>
        <v>141.283596986928</v>
      </c>
      <c r="AF28" s="40" t="n">
        <f aca="false">IF((2054-Inputs!$B$9)&lt;2028,0,IF((2054-Inputs!$B$9)&gt;2040,Inputs!$B$127*(1+Inputs!$B$166)^((2054-Inputs!$B$9)-2040),_xlfn.IFS((2054-Inputs!$B$9)=2028,Inputs!$B$115,(2054-Inputs!$B$9)=2029,Inputs!$B$116,(2054-Inputs!$B$9)=2030,Inputs!$B$117,(2054-Inputs!$B$9)=2031,Inputs!$B$118,(2054-Inputs!$B$9)=2032,Inputs!$B$119,(2054-Inputs!$B$9)=2033,Inputs!$B$120,(2054-Inputs!$B$9)=2034,Inputs!$B$121,(2054-Inputs!$B$9)=2035,Inputs!$B$122,(2054-Inputs!$B$9)=2036,Inputs!$B$123,(2054-Inputs!$B$9)=2037,Inputs!$B$124,(2054-Inputs!$B$9)=2038,Inputs!$B$125,(2054-Inputs!$B$9)=2039,Inputs!$B$126,(2054-Inputs!$B$9)=2040,Inputs!$B$127)))</f>
        <v>144.815686911601</v>
      </c>
      <c r="AG28" s="40" t="n">
        <f aca="false">IF((2055-Inputs!$B$9)&lt;2028,0,IF((2055-Inputs!$B$9)&gt;2040,Inputs!$B$127*(1+Inputs!$B$166)^((2055-Inputs!$B$9)-2040),_xlfn.IFS((2055-Inputs!$B$9)=2028,Inputs!$B$115,(2055-Inputs!$B$9)=2029,Inputs!$B$116,(2055-Inputs!$B$9)=2030,Inputs!$B$117,(2055-Inputs!$B$9)=2031,Inputs!$B$118,(2055-Inputs!$B$9)=2032,Inputs!$B$119,(2055-Inputs!$B$9)=2033,Inputs!$B$120,(2055-Inputs!$B$9)=2034,Inputs!$B$121,(2055-Inputs!$B$9)=2035,Inputs!$B$122,(2055-Inputs!$B$9)=2036,Inputs!$B$123,(2055-Inputs!$B$9)=2037,Inputs!$B$124,(2055-Inputs!$B$9)=2038,Inputs!$B$125,(2055-Inputs!$B$9)=2039,Inputs!$B$126,(2055-Inputs!$B$9)=2040,Inputs!$B$127)))</f>
        <v>148.436079084391</v>
      </c>
      <c r="AH28" s="40" t="n">
        <f aca="false">IF((2056-Inputs!$B$9)&lt;2028,0,IF((2056-Inputs!$B$9)&gt;2040,Inputs!$B$127*(1+Inputs!$B$166)^((2056-Inputs!$B$9)-2040),_xlfn.IFS((2056-Inputs!$B$9)=2028,Inputs!$B$115,(2056-Inputs!$B$9)=2029,Inputs!$B$116,(2056-Inputs!$B$9)=2030,Inputs!$B$117,(2056-Inputs!$B$9)=2031,Inputs!$B$118,(2056-Inputs!$B$9)=2032,Inputs!$B$119,(2056-Inputs!$B$9)=2033,Inputs!$B$120,(2056-Inputs!$B$9)=2034,Inputs!$B$121,(2056-Inputs!$B$9)=2035,Inputs!$B$122,(2056-Inputs!$B$9)=2036,Inputs!$B$123,(2056-Inputs!$B$9)=2037,Inputs!$B$124,(2056-Inputs!$B$9)=2038,Inputs!$B$125,(2056-Inputs!$B$9)=2039,Inputs!$B$126,(2056-Inputs!$B$9)=2040,Inputs!$B$127)))</f>
        <v>152.146981061501</v>
      </c>
      <c r="AI28" s="40" t="n">
        <f aca="false">IF((2057-Inputs!$B$9)&lt;2028,0,IF((2057-Inputs!$B$9)&gt;2040,Inputs!$B$127*(1+Inputs!$B$166)^((2057-Inputs!$B$9)-2040),_xlfn.IFS((2057-Inputs!$B$9)=2028,Inputs!$B$115,(2057-Inputs!$B$9)=2029,Inputs!$B$116,(2057-Inputs!$B$9)=2030,Inputs!$B$117,(2057-Inputs!$B$9)=2031,Inputs!$B$118,(2057-Inputs!$B$9)=2032,Inputs!$B$119,(2057-Inputs!$B$9)=2033,Inputs!$B$120,(2057-Inputs!$B$9)=2034,Inputs!$B$121,(2057-Inputs!$B$9)=2035,Inputs!$B$122,(2057-Inputs!$B$9)=2036,Inputs!$B$123,(2057-Inputs!$B$9)=2037,Inputs!$B$124,(2057-Inputs!$B$9)=2038,Inputs!$B$125,(2057-Inputs!$B$9)=2039,Inputs!$B$126,(2057-Inputs!$B$9)=2040,Inputs!$B$127)))</f>
        <v>155.950655588039</v>
      </c>
      <c r="AJ28" s="40" t="n">
        <f aca="false">IF((2058-Inputs!$B$9)&lt;2028,0,IF((2058-Inputs!$B$9)&gt;2040,Inputs!$B$127*(1+Inputs!$B$166)^((2058-Inputs!$B$9)-2040),_xlfn.IFS((2058-Inputs!$B$9)=2028,Inputs!$B$115,(2058-Inputs!$B$9)=2029,Inputs!$B$116,(2058-Inputs!$B$9)=2030,Inputs!$B$117,(2058-Inputs!$B$9)=2031,Inputs!$B$118,(2058-Inputs!$B$9)=2032,Inputs!$B$119,(2058-Inputs!$B$9)=2033,Inputs!$B$120,(2058-Inputs!$B$9)=2034,Inputs!$B$121,(2058-Inputs!$B$9)=2035,Inputs!$B$122,(2058-Inputs!$B$9)=2036,Inputs!$B$123,(2058-Inputs!$B$9)=2037,Inputs!$B$124,(2058-Inputs!$B$9)=2038,Inputs!$B$125,(2058-Inputs!$B$9)=2039,Inputs!$B$126,(2058-Inputs!$B$9)=2040,Inputs!$B$127)))</f>
        <v>159.849421977739</v>
      </c>
      <c r="AK28" s="40" t="n">
        <f aca="false">IF((2059-Inputs!$B$9)&lt;2028,0,IF((2059-Inputs!$B$9)&gt;2040,Inputs!$B$127*(1+Inputs!$B$166)^((2059-Inputs!$B$9)-2040),_xlfn.IFS((2059-Inputs!$B$9)=2028,Inputs!$B$115,(2059-Inputs!$B$9)=2029,Inputs!$B$116,(2059-Inputs!$B$9)=2030,Inputs!$B$117,(2059-Inputs!$B$9)=2031,Inputs!$B$118,(2059-Inputs!$B$9)=2032,Inputs!$B$119,(2059-Inputs!$B$9)=2033,Inputs!$B$120,(2059-Inputs!$B$9)=2034,Inputs!$B$121,(2059-Inputs!$B$9)=2035,Inputs!$B$122,(2059-Inputs!$B$9)=2036,Inputs!$B$123,(2059-Inputs!$B$9)=2037,Inputs!$B$124,(2059-Inputs!$B$9)=2038,Inputs!$B$125,(2059-Inputs!$B$9)=2039,Inputs!$B$126,(2059-Inputs!$B$9)=2040,Inputs!$B$127)))</f>
        <v>163.845657527183</v>
      </c>
      <c r="AL28" s="40" t="n">
        <f aca="false">IF((2060-Inputs!$B$9)&lt;2028,0,IF((2060-Inputs!$B$9)&gt;2040,Inputs!$B$127*(1+Inputs!$B$166)^((2060-Inputs!$B$9)-2040),_xlfn.IFS((2060-Inputs!$B$9)=2028,Inputs!$B$115,(2060-Inputs!$B$9)=2029,Inputs!$B$116,(2060-Inputs!$B$9)=2030,Inputs!$B$117,(2060-Inputs!$B$9)=2031,Inputs!$B$118,(2060-Inputs!$B$9)=2032,Inputs!$B$119,(2060-Inputs!$B$9)=2033,Inputs!$B$120,(2060-Inputs!$B$9)=2034,Inputs!$B$121,(2060-Inputs!$B$9)=2035,Inputs!$B$122,(2060-Inputs!$B$9)=2036,Inputs!$B$123,(2060-Inputs!$B$9)=2037,Inputs!$B$124,(2060-Inputs!$B$9)=2038,Inputs!$B$125,(2060-Inputs!$B$9)=2039,Inputs!$B$126,(2060-Inputs!$B$9)=2040,Inputs!$B$127)))</f>
        <v>167.941798965363</v>
      </c>
      <c r="AM28" s="40" t="n">
        <f aca="false">IF((2061-Inputs!$B$9)&lt;2028,0,IF((2061-Inputs!$B$9)&gt;2040,Inputs!$B$127*(1+Inputs!$B$166)^((2061-Inputs!$B$9)-2040),_xlfn.IFS((2061-Inputs!$B$9)=2028,Inputs!$B$115,(2061-Inputs!$B$9)=2029,Inputs!$B$116,(2061-Inputs!$B$9)=2030,Inputs!$B$117,(2061-Inputs!$B$9)=2031,Inputs!$B$118,(2061-Inputs!$B$9)=2032,Inputs!$B$119,(2061-Inputs!$B$9)=2033,Inputs!$B$120,(2061-Inputs!$B$9)=2034,Inputs!$B$121,(2061-Inputs!$B$9)=2035,Inputs!$B$122,(2061-Inputs!$B$9)=2036,Inputs!$B$123,(2061-Inputs!$B$9)=2037,Inputs!$B$124,(2061-Inputs!$B$9)=2038,Inputs!$B$125,(2061-Inputs!$B$9)=2039,Inputs!$B$126,(2061-Inputs!$B$9)=2040,Inputs!$B$127)))</f>
        <v>172.140343939497</v>
      </c>
      <c r="AN28" s="40" t="n">
        <f aca="false">IF((2062-Inputs!$B$9)&lt;2028,0,IF((2062-Inputs!$B$9)&gt;2040,Inputs!$B$127*(1+Inputs!$B$166)^((2062-Inputs!$B$9)-2040),_xlfn.IFS((2062-Inputs!$B$9)=2028,Inputs!$B$115,(2062-Inputs!$B$9)=2029,Inputs!$B$116,(2062-Inputs!$B$9)=2030,Inputs!$B$117,(2062-Inputs!$B$9)=2031,Inputs!$B$118,(2062-Inputs!$B$9)=2032,Inputs!$B$119,(2062-Inputs!$B$9)=2033,Inputs!$B$120,(2062-Inputs!$B$9)=2034,Inputs!$B$121,(2062-Inputs!$B$9)=2035,Inputs!$B$122,(2062-Inputs!$B$9)=2036,Inputs!$B$123,(2062-Inputs!$B$9)=2037,Inputs!$B$124,(2062-Inputs!$B$9)=2038,Inputs!$B$125,(2062-Inputs!$B$9)=2039,Inputs!$B$126,(2062-Inputs!$B$9)=2040,Inputs!$B$127)))</f>
        <v>176.443852537984</v>
      </c>
      <c r="AO28" s="40" t="n">
        <f aca="false">IF((2063-Inputs!$B$9)&lt;2028,0,IF((2063-Inputs!$B$9)&gt;2040,Inputs!$B$127*(1+Inputs!$B$166)^((2063-Inputs!$B$9)-2040),_xlfn.IFS((2063-Inputs!$B$9)=2028,Inputs!$B$115,(2063-Inputs!$B$9)=2029,Inputs!$B$116,(2063-Inputs!$B$9)=2030,Inputs!$B$117,(2063-Inputs!$B$9)=2031,Inputs!$B$118,(2063-Inputs!$B$9)=2032,Inputs!$B$119,(2063-Inputs!$B$9)=2033,Inputs!$B$120,(2063-Inputs!$B$9)=2034,Inputs!$B$121,(2063-Inputs!$B$9)=2035,Inputs!$B$122,(2063-Inputs!$B$9)=2036,Inputs!$B$123,(2063-Inputs!$B$9)=2037,Inputs!$B$124,(2063-Inputs!$B$9)=2038,Inputs!$B$125,(2063-Inputs!$B$9)=2039,Inputs!$B$126,(2063-Inputs!$B$9)=2040,Inputs!$B$127)))</f>
        <v>180.854948851434</v>
      </c>
      <c r="AP28" s="40" t="n">
        <f aca="false">IF((2064-Inputs!$B$9)&lt;2028,0,IF((2064-Inputs!$B$9)&gt;2040,Inputs!$B$127*(1+Inputs!$B$166)^((2064-Inputs!$B$9)-2040),_xlfn.IFS((2064-Inputs!$B$9)=2028,Inputs!$B$115,(2064-Inputs!$B$9)=2029,Inputs!$B$116,(2064-Inputs!$B$9)=2030,Inputs!$B$117,(2064-Inputs!$B$9)=2031,Inputs!$B$118,(2064-Inputs!$B$9)=2032,Inputs!$B$119,(2064-Inputs!$B$9)=2033,Inputs!$B$120,(2064-Inputs!$B$9)=2034,Inputs!$B$121,(2064-Inputs!$B$9)=2035,Inputs!$B$122,(2064-Inputs!$B$9)=2036,Inputs!$B$123,(2064-Inputs!$B$9)=2037,Inputs!$B$124,(2064-Inputs!$B$9)=2038,Inputs!$B$125,(2064-Inputs!$B$9)=2039,Inputs!$B$126,(2064-Inputs!$B$9)=2040,Inputs!$B$127)))</f>
        <v>185.376322572719</v>
      </c>
      <c r="AQ28" s="40" t="n">
        <f aca="false">IF((2065-Inputs!$B$9)&lt;2028,0,IF((2065-Inputs!$B$9)&gt;2040,Inputs!$B$127*(1+Inputs!$B$166)^((2065-Inputs!$B$9)-2040),_xlfn.IFS((2065-Inputs!$B$9)=2028,Inputs!$B$115,(2065-Inputs!$B$9)=2029,Inputs!$B$116,(2065-Inputs!$B$9)=2030,Inputs!$B$117,(2065-Inputs!$B$9)=2031,Inputs!$B$118,(2065-Inputs!$B$9)=2032,Inputs!$B$119,(2065-Inputs!$B$9)=2033,Inputs!$B$120,(2065-Inputs!$B$9)=2034,Inputs!$B$121,(2065-Inputs!$B$9)=2035,Inputs!$B$122,(2065-Inputs!$B$9)=2036,Inputs!$B$123,(2065-Inputs!$B$9)=2037,Inputs!$B$124,(2065-Inputs!$B$9)=2038,Inputs!$B$125,(2065-Inputs!$B$9)=2039,Inputs!$B$126,(2065-Inputs!$B$9)=2040,Inputs!$B$127)))</f>
        <v>190.010730637037</v>
      </c>
      <c r="AR28" s="40" t="n">
        <f aca="false">IF((2066-Inputs!$B$9)&lt;2028,0,IF((2066-Inputs!$B$9)&gt;2040,Inputs!$B$127*(1+Inputs!$B$166)^((2066-Inputs!$B$9)-2040),_xlfn.IFS((2066-Inputs!$B$9)=2028,Inputs!$B$115,(2066-Inputs!$B$9)=2029,Inputs!$B$116,(2066-Inputs!$B$9)=2030,Inputs!$B$117,(2066-Inputs!$B$9)=2031,Inputs!$B$118,(2066-Inputs!$B$9)=2032,Inputs!$B$119,(2066-Inputs!$B$9)=2033,Inputs!$B$120,(2066-Inputs!$B$9)=2034,Inputs!$B$121,(2066-Inputs!$B$9)=2035,Inputs!$B$122,(2066-Inputs!$B$9)=2036,Inputs!$B$123,(2066-Inputs!$B$9)=2037,Inputs!$B$124,(2066-Inputs!$B$9)=2038,Inputs!$B$125,(2066-Inputs!$B$9)=2039,Inputs!$B$126,(2066-Inputs!$B$9)=2040,Inputs!$B$127)))</f>
        <v>194.760998902963</v>
      </c>
      <c r="AS28" s="40" t="n">
        <f aca="false">IF((2067-Inputs!$B$9)&lt;2028,0,IF((2067-Inputs!$B$9)&gt;2040,Inputs!$B$127*(1+Inputs!$B$166)^((2067-Inputs!$B$9)-2040),_xlfn.IFS((2067-Inputs!$B$9)=2028,Inputs!$B$115,(2067-Inputs!$B$9)=2029,Inputs!$B$116,(2067-Inputs!$B$9)=2030,Inputs!$B$117,(2067-Inputs!$B$9)=2031,Inputs!$B$118,(2067-Inputs!$B$9)=2032,Inputs!$B$119,(2067-Inputs!$B$9)=2033,Inputs!$B$120,(2067-Inputs!$B$9)=2034,Inputs!$B$121,(2067-Inputs!$B$9)=2035,Inputs!$B$122,(2067-Inputs!$B$9)=2036,Inputs!$B$123,(2067-Inputs!$B$9)=2037,Inputs!$B$124,(2067-Inputs!$B$9)=2038,Inputs!$B$125,(2067-Inputs!$B$9)=2039,Inputs!$B$126,(2067-Inputs!$B$9)=2040,Inputs!$B$127)))</f>
        <v>199.630023875537</v>
      </c>
      <c r="AT28" s="40" t="n">
        <f aca="false">IF((2068-Inputs!$B$9)&lt;2028,0,IF((2068-Inputs!$B$9)&gt;2040,Inputs!$B$127*(1+Inputs!$B$166)^((2068-Inputs!$B$9)-2040),_xlfn.IFS((2068-Inputs!$B$9)=2028,Inputs!$B$115,(2068-Inputs!$B$9)=2029,Inputs!$B$116,(2068-Inputs!$B$9)=2030,Inputs!$B$117,(2068-Inputs!$B$9)=2031,Inputs!$B$118,(2068-Inputs!$B$9)=2032,Inputs!$B$119,(2068-Inputs!$B$9)=2033,Inputs!$B$120,(2068-Inputs!$B$9)=2034,Inputs!$B$121,(2068-Inputs!$B$9)=2035,Inputs!$B$122,(2068-Inputs!$B$9)=2036,Inputs!$B$123,(2068-Inputs!$B$9)=2037,Inputs!$B$124,(2068-Inputs!$B$9)=2038,Inputs!$B$125,(2068-Inputs!$B$9)=2039,Inputs!$B$126,(2068-Inputs!$B$9)=2040,Inputs!$B$127)))</f>
        <v>204.620774472426</v>
      </c>
      <c r="AU28" s="40" t="n">
        <f aca="false">IF((2069-Inputs!$B$9)&lt;2028,0,IF((2069-Inputs!$B$9)&gt;2040,Inputs!$B$127*(1+Inputs!$B$166)^((2069-Inputs!$B$9)-2040),_xlfn.IFS((2069-Inputs!$B$9)=2028,Inputs!$B$115,(2069-Inputs!$B$9)=2029,Inputs!$B$116,(2069-Inputs!$B$9)=2030,Inputs!$B$117,(2069-Inputs!$B$9)=2031,Inputs!$B$118,(2069-Inputs!$B$9)=2032,Inputs!$B$119,(2069-Inputs!$B$9)=2033,Inputs!$B$120,(2069-Inputs!$B$9)=2034,Inputs!$B$121,(2069-Inputs!$B$9)=2035,Inputs!$B$122,(2069-Inputs!$B$9)=2036,Inputs!$B$123,(2069-Inputs!$B$9)=2037,Inputs!$B$124,(2069-Inputs!$B$9)=2038,Inputs!$B$125,(2069-Inputs!$B$9)=2039,Inputs!$B$126,(2069-Inputs!$B$9)=2040,Inputs!$B$127)))</f>
        <v>209.736293834236</v>
      </c>
      <c r="AV28" s="40" t="n">
        <f aca="false">IF((2070-Inputs!$B$9)&lt;2028,0,IF((2070-Inputs!$B$9)&gt;2040,Inputs!$B$127*(1+Inputs!$B$166)^((2070-Inputs!$B$9)-2040),_xlfn.IFS((2070-Inputs!$B$9)=2028,Inputs!$B$115,(2070-Inputs!$B$9)=2029,Inputs!$B$116,(2070-Inputs!$B$9)=2030,Inputs!$B$117,(2070-Inputs!$B$9)=2031,Inputs!$B$118,(2070-Inputs!$B$9)=2032,Inputs!$B$119,(2070-Inputs!$B$9)=2033,Inputs!$B$120,(2070-Inputs!$B$9)=2034,Inputs!$B$121,(2070-Inputs!$B$9)=2035,Inputs!$B$122,(2070-Inputs!$B$9)=2036,Inputs!$B$123,(2070-Inputs!$B$9)=2037,Inputs!$B$124,(2070-Inputs!$B$9)=2038,Inputs!$B$125,(2070-Inputs!$B$9)=2039,Inputs!$B$126,(2070-Inputs!$B$9)=2040,Inputs!$B$127)))</f>
        <v>214.979701180092</v>
      </c>
      <c r="AW28" s="40" t="n">
        <f aca="false">IF((2071-Inputs!$B$9)&lt;2028,0,IF((2071-Inputs!$B$9)&gt;2040,Inputs!$B$127*(1+Inputs!$B$166)^((2071-Inputs!$B$9)-2040),_xlfn.IFS((2071-Inputs!$B$9)=2028,Inputs!$B$115,(2071-Inputs!$B$9)=2029,Inputs!$B$116,(2071-Inputs!$B$9)=2030,Inputs!$B$117,(2071-Inputs!$B$9)=2031,Inputs!$B$118,(2071-Inputs!$B$9)=2032,Inputs!$B$119,(2071-Inputs!$B$9)=2033,Inputs!$B$120,(2071-Inputs!$B$9)=2034,Inputs!$B$121,(2071-Inputs!$B$9)=2035,Inputs!$B$122,(2071-Inputs!$B$9)=2036,Inputs!$B$123,(2071-Inputs!$B$9)=2037,Inputs!$B$124,(2071-Inputs!$B$9)=2038,Inputs!$B$125,(2071-Inputs!$B$9)=2039,Inputs!$B$126,(2071-Inputs!$B$9)=2040,Inputs!$B$127)))</f>
        <v>220.354193709595</v>
      </c>
      <c r="AX28" s="40" t="n">
        <f aca="false">IF((2072-Inputs!$B$9)&lt;2028,0,IF((2072-Inputs!$B$9)&gt;2040,Inputs!$B$127*(1+Inputs!$B$166)^((2072-Inputs!$B$9)-2040),_xlfn.IFS((2072-Inputs!$B$9)=2028,Inputs!$B$115,(2072-Inputs!$B$9)=2029,Inputs!$B$116,(2072-Inputs!$B$9)=2030,Inputs!$B$117,(2072-Inputs!$B$9)=2031,Inputs!$B$118,(2072-Inputs!$B$9)=2032,Inputs!$B$119,(2072-Inputs!$B$9)=2033,Inputs!$B$120,(2072-Inputs!$B$9)=2034,Inputs!$B$121,(2072-Inputs!$B$9)=2035,Inputs!$B$122,(2072-Inputs!$B$9)=2036,Inputs!$B$123,(2072-Inputs!$B$9)=2037,Inputs!$B$124,(2072-Inputs!$B$9)=2038,Inputs!$B$125,(2072-Inputs!$B$9)=2039,Inputs!$B$126,(2072-Inputs!$B$9)=2040,Inputs!$B$127)))</f>
        <v>225.863048552334</v>
      </c>
      <c r="AY28" s="40" t="n">
        <f aca="false">IF((2073-Inputs!$B$9)&lt;2028,0,IF((2073-Inputs!$B$9)&gt;2040,Inputs!$B$127*(1+Inputs!$B$166)^((2073-Inputs!$B$9)-2040),_xlfn.IFS((2073-Inputs!$B$9)=2028,Inputs!$B$115,(2073-Inputs!$B$9)=2029,Inputs!$B$116,(2073-Inputs!$B$9)=2030,Inputs!$B$117,(2073-Inputs!$B$9)=2031,Inputs!$B$118,(2073-Inputs!$B$9)=2032,Inputs!$B$119,(2073-Inputs!$B$9)=2033,Inputs!$B$120,(2073-Inputs!$B$9)=2034,Inputs!$B$121,(2073-Inputs!$B$9)=2035,Inputs!$B$122,(2073-Inputs!$B$9)=2036,Inputs!$B$123,(2073-Inputs!$B$9)=2037,Inputs!$B$124,(2073-Inputs!$B$9)=2038,Inputs!$B$125,(2073-Inputs!$B$9)=2039,Inputs!$B$126,(2073-Inputs!$B$9)=2040,Inputs!$B$127)))</f>
        <v>231.509624766143</v>
      </c>
      <c r="AZ28" s="40" t="n">
        <f aca="false">IF((2074-Inputs!$B$9)&lt;2028,0,IF((2074-Inputs!$B$9)&gt;2040,Inputs!$B$127*(1+Inputs!$B$166)^((2074-Inputs!$B$9)-2040),_xlfn.IFS((2074-Inputs!$B$9)=2028,Inputs!$B$115,(2074-Inputs!$B$9)=2029,Inputs!$B$116,(2074-Inputs!$B$9)=2030,Inputs!$B$117,(2074-Inputs!$B$9)=2031,Inputs!$B$118,(2074-Inputs!$B$9)=2032,Inputs!$B$119,(2074-Inputs!$B$9)=2033,Inputs!$B$120,(2074-Inputs!$B$9)=2034,Inputs!$B$121,(2074-Inputs!$B$9)=2035,Inputs!$B$122,(2074-Inputs!$B$9)=2036,Inputs!$B$123,(2074-Inputs!$B$9)=2037,Inputs!$B$124,(2074-Inputs!$B$9)=2038,Inputs!$B$125,(2074-Inputs!$B$9)=2039,Inputs!$B$126,(2074-Inputs!$B$9)=2040,Inputs!$B$127)))</f>
        <v>237.297365385296</v>
      </c>
    </row>
    <row r="29" customFormat="false" ht="15" hidden="false" customHeight="false" outlineLevel="0" collapsed="false">
      <c r="A29" s="34" t="s">
        <v>137</v>
      </c>
      <c r="D29" s="40" t="n">
        <f aca="false">IF((2026-Inputs!$B$9)&lt;2028,0,IF((2026-Inputs!$B$9)&gt;2040,Inputs!$B$140*(1+Inputs!$B$166)^((2026-Inputs!$B$9)-2040),_xlfn.IFS((2026-Inputs!$B$9)=2028,Inputs!$B$128,(2026-Inputs!$B$9)=2029,Inputs!$B$129,(2026-Inputs!$B$9)=2030,Inputs!$B$130,(2026-Inputs!$B$9)=2031,Inputs!$B$131,(2026-Inputs!$B$9)=2032,Inputs!$B$132,(2026-Inputs!$B$9)=2033,Inputs!$B$133,(2026-Inputs!$B$9)=2034,Inputs!$B$134,(2026-Inputs!$B$9)=2035,Inputs!$B$135,(2026-Inputs!$B$9)=2036,Inputs!$B$136,(2026-Inputs!$B$9)=2037,Inputs!$B$137,(2026-Inputs!$B$9)=2038,Inputs!$B$138,(2026-Inputs!$B$9)=2039,Inputs!$B$139,(2026-Inputs!$B$9)=2040,Inputs!$B$140)))</f>
        <v>0</v>
      </c>
      <c r="E29" s="40" t="n">
        <f aca="false">IF((2027-Inputs!$B$9)&lt;2028,0,IF((2027-Inputs!$B$9)&gt;2040,Inputs!$B$140*(1+Inputs!$B$166)^((2027-Inputs!$B$9)-2040),_xlfn.IFS((2027-Inputs!$B$9)=2028,Inputs!$B$128,(2027-Inputs!$B$9)=2029,Inputs!$B$129,(2027-Inputs!$B$9)=2030,Inputs!$B$130,(2027-Inputs!$B$9)=2031,Inputs!$B$131,(2027-Inputs!$B$9)=2032,Inputs!$B$132,(2027-Inputs!$B$9)=2033,Inputs!$B$133,(2027-Inputs!$B$9)=2034,Inputs!$B$134,(2027-Inputs!$B$9)=2035,Inputs!$B$135,(2027-Inputs!$B$9)=2036,Inputs!$B$136,(2027-Inputs!$B$9)=2037,Inputs!$B$137,(2027-Inputs!$B$9)=2038,Inputs!$B$138,(2027-Inputs!$B$9)=2039,Inputs!$B$139,(2027-Inputs!$B$9)=2040,Inputs!$B$140)))</f>
        <v>0</v>
      </c>
      <c r="F29" s="40" t="n">
        <f aca="false">IF((2028-Inputs!$B$9)&lt;2028,0,IF((2028-Inputs!$B$9)&gt;2040,Inputs!$B$140*(1+Inputs!$B$166)^((2028-Inputs!$B$9)-2040),_xlfn.IFS((2028-Inputs!$B$9)=2028,Inputs!$B$128,(2028-Inputs!$B$9)=2029,Inputs!$B$129,(2028-Inputs!$B$9)=2030,Inputs!$B$130,(2028-Inputs!$B$9)=2031,Inputs!$B$131,(2028-Inputs!$B$9)=2032,Inputs!$B$132,(2028-Inputs!$B$9)=2033,Inputs!$B$133,(2028-Inputs!$B$9)=2034,Inputs!$B$134,(2028-Inputs!$B$9)=2035,Inputs!$B$135,(2028-Inputs!$B$9)=2036,Inputs!$B$136,(2028-Inputs!$B$9)=2037,Inputs!$B$137,(2028-Inputs!$B$9)=2038,Inputs!$B$138,(2028-Inputs!$B$9)=2039,Inputs!$B$139,(2028-Inputs!$B$9)=2040,Inputs!$B$140)))</f>
        <v>91.91</v>
      </c>
      <c r="G29" s="40" t="n">
        <f aca="false">IF((2029-Inputs!$B$9)&lt;2028,0,IF((2029-Inputs!$B$9)&gt;2040,Inputs!$B$140*(1+Inputs!$B$166)^((2029-Inputs!$B$9)-2040),_xlfn.IFS((2029-Inputs!$B$9)=2028,Inputs!$B$128,(2029-Inputs!$B$9)=2029,Inputs!$B$129,(2029-Inputs!$B$9)=2030,Inputs!$B$130,(2029-Inputs!$B$9)=2031,Inputs!$B$131,(2029-Inputs!$B$9)=2032,Inputs!$B$132,(2029-Inputs!$B$9)=2033,Inputs!$B$133,(2029-Inputs!$B$9)=2034,Inputs!$B$134,(2029-Inputs!$B$9)=2035,Inputs!$B$135,(2029-Inputs!$B$9)=2036,Inputs!$B$136,(2029-Inputs!$B$9)=2037,Inputs!$B$137,(2029-Inputs!$B$9)=2038,Inputs!$B$138,(2029-Inputs!$B$9)=2039,Inputs!$B$139,(2029-Inputs!$B$9)=2040,Inputs!$B$140)))</f>
        <v>95.06</v>
      </c>
      <c r="H29" s="40" t="n">
        <f aca="false">IF((2030-Inputs!$B$9)&lt;2028,0,IF((2030-Inputs!$B$9)&gt;2040,Inputs!$B$140*(1+Inputs!$B$166)^((2030-Inputs!$B$9)-2040),_xlfn.IFS((2030-Inputs!$B$9)=2028,Inputs!$B$128,(2030-Inputs!$B$9)=2029,Inputs!$B$129,(2030-Inputs!$B$9)=2030,Inputs!$B$130,(2030-Inputs!$B$9)=2031,Inputs!$B$131,(2030-Inputs!$B$9)=2032,Inputs!$B$132,(2030-Inputs!$B$9)=2033,Inputs!$B$133,(2030-Inputs!$B$9)=2034,Inputs!$B$134,(2030-Inputs!$B$9)=2035,Inputs!$B$135,(2030-Inputs!$B$9)=2036,Inputs!$B$136,(2030-Inputs!$B$9)=2037,Inputs!$B$137,(2030-Inputs!$B$9)=2038,Inputs!$B$138,(2030-Inputs!$B$9)=2039,Inputs!$B$139,(2030-Inputs!$B$9)=2040,Inputs!$B$140)))</f>
        <v>97.4</v>
      </c>
      <c r="I29" s="40" t="n">
        <f aca="false">IF((2031-Inputs!$B$9)&lt;2028,0,IF((2031-Inputs!$B$9)&gt;2040,Inputs!$B$140*(1+Inputs!$B$166)^((2031-Inputs!$B$9)-2040),_xlfn.IFS((2031-Inputs!$B$9)=2028,Inputs!$B$128,(2031-Inputs!$B$9)=2029,Inputs!$B$129,(2031-Inputs!$B$9)=2030,Inputs!$B$130,(2031-Inputs!$B$9)=2031,Inputs!$B$131,(2031-Inputs!$B$9)=2032,Inputs!$B$132,(2031-Inputs!$B$9)=2033,Inputs!$B$133,(2031-Inputs!$B$9)=2034,Inputs!$B$134,(2031-Inputs!$B$9)=2035,Inputs!$B$135,(2031-Inputs!$B$9)=2036,Inputs!$B$136,(2031-Inputs!$B$9)=2037,Inputs!$B$137,(2031-Inputs!$B$9)=2038,Inputs!$B$138,(2031-Inputs!$B$9)=2039,Inputs!$B$139,(2031-Inputs!$B$9)=2040,Inputs!$B$140)))</f>
        <v>98.85</v>
      </c>
      <c r="J29" s="40" t="n">
        <f aca="false">IF((2032-Inputs!$B$9)&lt;2028,0,IF((2032-Inputs!$B$9)&gt;2040,Inputs!$B$140*(1+Inputs!$B$166)^((2032-Inputs!$B$9)-2040),_xlfn.IFS((2032-Inputs!$B$9)=2028,Inputs!$B$128,(2032-Inputs!$B$9)=2029,Inputs!$B$129,(2032-Inputs!$B$9)=2030,Inputs!$B$130,(2032-Inputs!$B$9)=2031,Inputs!$B$131,(2032-Inputs!$B$9)=2032,Inputs!$B$132,(2032-Inputs!$B$9)=2033,Inputs!$B$133,(2032-Inputs!$B$9)=2034,Inputs!$B$134,(2032-Inputs!$B$9)=2035,Inputs!$B$135,(2032-Inputs!$B$9)=2036,Inputs!$B$136,(2032-Inputs!$B$9)=2037,Inputs!$B$137,(2032-Inputs!$B$9)=2038,Inputs!$B$138,(2032-Inputs!$B$9)=2039,Inputs!$B$139,(2032-Inputs!$B$9)=2040,Inputs!$B$140)))</f>
        <v>101.06</v>
      </c>
      <c r="K29" s="40" t="n">
        <f aca="false">IF((2033-Inputs!$B$9)&lt;2028,0,IF((2033-Inputs!$B$9)&gt;2040,Inputs!$B$140*(1+Inputs!$B$166)^((2033-Inputs!$B$9)-2040),_xlfn.IFS((2033-Inputs!$B$9)=2028,Inputs!$B$128,(2033-Inputs!$B$9)=2029,Inputs!$B$129,(2033-Inputs!$B$9)=2030,Inputs!$B$130,(2033-Inputs!$B$9)=2031,Inputs!$B$131,(2033-Inputs!$B$9)=2032,Inputs!$B$132,(2033-Inputs!$B$9)=2033,Inputs!$B$133,(2033-Inputs!$B$9)=2034,Inputs!$B$134,(2033-Inputs!$B$9)=2035,Inputs!$B$135,(2033-Inputs!$B$9)=2036,Inputs!$B$136,(2033-Inputs!$B$9)=2037,Inputs!$B$137,(2033-Inputs!$B$9)=2038,Inputs!$B$138,(2033-Inputs!$B$9)=2039,Inputs!$B$139,(2033-Inputs!$B$9)=2040,Inputs!$B$140)))</f>
        <v>103.33</v>
      </c>
      <c r="L29" s="40" t="n">
        <f aca="false">IF((2034-Inputs!$B$9)&lt;2028,0,IF((2034-Inputs!$B$9)&gt;2040,Inputs!$B$140*(1+Inputs!$B$166)^((2034-Inputs!$B$9)-2040),_xlfn.IFS((2034-Inputs!$B$9)=2028,Inputs!$B$128,(2034-Inputs!$B$9)=2029,Inputs!$B$129,(2034-Inputs!$B$9)=2030,Inputs!$B$130,(2034-Inputs!$B$9)=2031,Inputs!$B$131,(2034-Inputs!$B$9)=2032,Inputs!$B$132,(2034-Inputs!$B$9)=2033,Inputs!$B$133,(2034-Inputs!$B$9)=2034,Inputs!$B$134,(2034-Inputs!$B$9)=2035,Inputs!$B$135,(2034-Inputs!$B$9)=2036,Inputs!$B$136,(2034-Inputs!$B$9)=2037,Inputs!$B$137,(2034-Inputs!$B$9)=2038,Inputs!$B$138,(2034-Inputs!$B$9)=2039,Inputs!$B$139,(2034-Inputs!$B$9)=2040,Inputs!$B$140)))</f>
        <v>105.64</v>
      </c>
      <c r="M29" s="40" t="n">
        <f aca="false">IF((2035-Inputs!$B$9)&lt;2028,0,IF((2035-Inputs!$B$9)&gt;2040,Inputs!$B$140*(1+Inputs!$B$166)^((2035-Inputs!$B$9)-2040),_xlfn.IFS((2035-Inputs!$B$9)=2028,Inputs!$B$128,(2035-Inputs!$B$9)=2029,Inputs!$B$129,(2035-Inputs!$B$9)=2030,Inputs!$B$130,(2035-Inputs!$B$9)=2031,Inputs!$B$131,(2035-Inputs!$B$9)=2032,Inputs!$B$132,(2035-Inputs!$B$9)=2033,Inputs!$B$133,(2035-Inputs!$B$9)=2034,Inputs!$B$134,(2035-Inputs!$B$9)=2035,Inputs!$B$135,(2035-Inputs!$B$9)=2036,Inputs!$B$136,(2035-Inputs!$B$9)=2037,Inputs!$B$137,(2035-Inputs!$B$9)=2038,Inputs!$B$138,(2035-Inputs!$B$9)=2039,Inputs!$B$139,(2035-Inputs!$B$9)=2040,Inputs!$B$140)))</f>
        <v>108.02</v>
      </c>
      <c r="N29" s="40" t="n">
        <f aca="false">IF((2036-Inputs!$B$9)&lt;2028,0,IF((2036-Inputs!$B$9)&gt;2040,Inputs!$B$140*(1+Inputs!$B$166)^((2036-Inputs!$B$9)-2040),_xlfn.IFS((2036-Inputs!$B$9)=2028,Inputs!$B$128,(2036-Inputs!$B$9)=2029,Inputs!$B$129,(2036-Inputs!$B$9)=2030,Inputs!$B$130,(2036-Inputs!$B$9)=2031,Inputs!$B$131,(2036-Inputs!$B$9)=2032,Inputs!$B$132,(2036-Inputs!$B$9)=2033,Inputs!$B$133,(2036-Inputs!$B$9)=2034,Inputs!$B$134,(2036-Inputs!$B$9)=2035,Inputs!$B$135,(2036-Inputs!$B$9)=2036,Inputs!$B$136,(2036-Inputs!$B$9)=2037,Inputs!$B$137,(2036-Inputs!$B$9)=2038,Inputs!$B$138,(2036-Inputs!$B$9)=2039,Inputs!$B$139,(2036-Inputs!$B$9)=2040,Inputs!$B$140)))</f>
        <v>110.45</v>
      </c>
      <c r="O29" s="40" t="n">
        <f aca="false">IF((2037-Inputs!$B$9)&lt;2028,0,IF((2037-Inputs!$B$9)&gt;2040,Inputs!$B$140*(1+Inputs!$B$166)^((2037-Inputs!$B$9)-2040),_xlfn.IFS((2037-Inputs!$B$9)=2028,Inputs!$B$128,(2037-Inputs!$B$9)=2029,Inputs!$B$129,(2037-Inputs!$B$9)=2030,Inputs!$B$130,(2037-Inputs!$B$9)=2031,Inputs!$B$131,(2037-Inputs!$B$9)=2032,Inputs!$B$132,(2037-Inputs!$B$9)=2033,Inputs!$B$133,(2037-Inputs!$B$9)=2034,Inputs!$B$134,(2037-Inputs!$B$9)=2035,Inputs!$B$135,(2037-Inputs!$B$9)=2036,Inputs!$B$136,(2037-Inputs!$B$9)=2037,Inputs!$B$137,(2037-Inputs!$B$9)=2038,Inputs!$B$138,(2037-Inputs!$B$9)=2039,Inputs!$B$139,(2037-Inputs!$B$9)=2040,Inputs!$B$140)))</f>
        <v>112.94</v>
      </c>
      <c r="P29" s="40" t="n">
        <f aca="false">IF((2038-Inputs!$B$9)&lt;2028,0,IF((2038-Inputs!$B$9)&gt;2040,Inputs!$B$140*(1+Inputs!$B$166)^((2038-Inputs!$B$9)-2040),_xlfn.IFS((2038-Inputs!$B$9)=2028,Inputs!$B$128,(2038-Inputs!$B$9)=2029,Inputs!$B$129,(2038-Inputs!$B$9)=2030,Inputs!$B$130,(2038-Inputs!$B$9)=2031,Inputs!$B$131,(2038-Inputs!$B$9)=2032,Inputs!$B$132,(2038-Inputs!$B$9)=2033,Inputs!$B$133,(2038-Inputs!$B$9)=2034,Inputs!$B$134,(2038-Inputs!$B$9)=2035,Inputs!$B$135,(2038-Inputs!$B$9)=2036,Inputs!$B$136,(2038-Inputs!$B$9)=2037,Inputs!$B$137,(2038-Inputs!$B$9)=2038,Inputs!$B$138,(2038-Inputs!$B$9)=2039,Inputs!$B$139,(2038-Inputs!$B$9)=2040,Inputs!$B$140)))</f>
        <v>115.5</v>
      </c>
      <c r="Q29" s="40" t="n">
        <f aca="false">IF((2039-Inputs!$B$9)&lt;2028,0,IF((2039-Inputs!$B$9)&gt;2040,Inputs!$B$140*(1+Inputs!$B$166)^((2039-Inputs!$B$9)-2040),_xlfn.IFS((2039-Inputs!$B$9)=2028,Inputs!$B$128,(2039-Inputs!$B$9)=2029,Inputs!$B$129,(2039-Inputs!$B$9)=2030,Inputs!$B$130,(2039-Inputs!$B$9)=2031,Inputs!$B$131,(2039-Inputs!$B$9)=2032,Inputs!$B$132,(2039-Inputs!$B$9)=2033,Inputs!$B$133,(2039-Inputs!$B$9)=2034,Inputs!$B$134,(2039-Inputs!$B$9)=2035,Inputs!$B$135,(2039-Inputs!$B$9)=2036,Inputs!$B$136,(2039-Inputs!$B$9)=2037,Inputs!$B$137,(2039-Inputs!$B$9)=2038,Inputs!$B$138,(2039-Inputs!$B$9)=2039,Inputs!$B$139,(2039-Inputs!$B$9)=2040,Inputs!$B$140)))</f>
        <v>118.11</v>
      </c>
      <c r="R29" s="40" t="n">
        <f aca="false">IF((2040-Inputs!$B$9)&lt;2028,0,IF((2040-Inputs!$B$9)&gt;2040,Inputs!$B$140*(1+Inputs!$B$166)^((2040-Inputs!$B$9)-2040),_xlfn.IFS((2040-Inputs!$B$9)=2028,Inputs!$B$128,(2040-Inputs!$B$9)=2029,Inputs!$B$129,(2040-Inputs!$B$9)=2030,Inputs!$B$130,(2040-Inputs!$B$9)=2031,Inputs!$B$131,(2040-Inputs!$B$9)=2032,Inputs!$B$132,(2040-Inputs!$B$9)=2033,Inputs!$B$133,(2040-Inputs!$B$9)=2034,Inputs!$B$134,(2040-Inputs!$B$9)=2035,Inputs!$B$135,(2040-Inputs!$B$9)=2036,Inputs!$B$136,(2040-Inputs!$B$9)=2037,Inputs!$B$137,(2040-Inputs!$B$9)=2038,Inputs!$B$138,(2040-Inputs!$B$9)=2039,Inputs!$B$139,(2040-Inputs!$B$9)=2040,Inputs!$B$140)))</f>
        <v>120.79</v>
      </c>
      <c r="S29" s="40" t="n">
        <f aca="false">IF((2041-Inputs!$B$9)&lt;2028,0,IF((2041-Inputs!$B$9)&gt;2040,Inputs!$B$140*(1+Inputs!$B$166)^((2041-Inputs!$B$9)-2040),_xlfn.IFS((2041-Inputs!$B$9)=2028,Inputs!$B$128,(2041-Inputs!$B$9)=2029,Inputs!$B$129,(2041-Inputs!$B$9)=2030,Inputs!$B$130,(2041-Inputs!$B$9)=2031,Inputs!$B$131,(2041-Inputs!$B$9)=2032,Inputs!$B$132,(2041-Inputs!$B$9)=2033,Inputs!$B$133,(2041-Inputs!$B$9)=2034,Inputs!$B$134,(2041-Inputs!$B$9)=2035,Inputs!$B$135,(2041-Inputs!$B$9)=2036,Inputs!$B$136,(2041-Inputs!$B$9)=2037,Inputs!$B$137,(2041-Inputs!$B$9)=2038,Inputs!$B$138,(2041-Inputs!$B$9)=2039,Inputs!$B$139,(2041-Inputs!$B$9)=2040,Inputs!$B$140)))</f>
        <v>123.80975</v>
      </c>
      <c r="T29" s="40" t="n">
        <f aca="false">IF((2042-Inputs!$B$9)&lt;2028,0,IF((2042-Inputs!$B$9)&gt;2040,Inputs!$B$140*(1+Inputs!$B$166)^((2042-Inputs!$B$9)-2040),_xlfn.IFS((2042-Inputs!$B$9)=2028,Inputs!$B$128,(2042-Inputs!$B$9)=2029,Inputs!$B$129,(2042-Inputs!$B$9)=2030,Inputs!$B$130,(2042-Inputs!$B$9)=2031,Inputs!$B$131,(2042-Inputs!$B$9)=2032,Inputs!$B$132,(2042-Inputs!$B$9)=2033,Inputs!$B$133,(2042-Inputs!$B$9)=2034,Inputs!$B$134,(2042-Inputs!$B$9)=2035,Inputs!$B$135,(2042-Inputs!$B$9)=2036,Inputs!$B$136,(2042-Inputs!$B$9)=2037,Inputs!$B$137,(2042-Inputs!$B$9)=2038,Inputs!$B$138,(2042-Inputs!$B$9)=2039,Inputs!$B$139,(2042-Inputs!$B$9)=2040,Inputs!$B$140)))</f>
        <v>126.90499375</v>
      </c>
      <c r="U29" s="40" t="n">
        <f aca="false">IF((2043-Inputs!$B$9)&lt;2028,0,IF((2043-Inputs!$B$9)&gt;2040,Inputs!$B$140*(1+Inputs!$B$166)^((2043-Inputs!$B$9)-2040),_xlfn.IFS((2043-Inputs!$B$9)=2028,Inputs!$B$128,(2043-Inputs!$B$9)=2029,Inputs!$B$129,(2043-Inputs!$B$9)=2030,Inputs!$B$130,(2043-Inputs!$B$9)=2031,Inputs!$B$131,(2043-Inputs!$B$9)=2032,Inputs!$B$132,(2043-Inputs!$B$9)=2033,Inputs!$B$133,(2043-Inputs!$B$9)=2034,Inputs!$B$134,(2043-Inputs!$B$9)=2035,Inputs!$B$135,(2043-Inputs!$B$9)=2036,Inputs!$B$136,(2043-Inputs!$B$9)=2037,Inputs!$B$137,(2043-Inputs!$B$9)=2038,Inputs!$B$138,(2043-Inputs!$B$9)=2039,Inputs!$B$139,(2043-Inputs!$B$9)=2040,Inputs!$B$140)))</f>
        <v>130.07761859375</v>
      </c>
      <c r="V29" s="40" t="n">
        <f aca="false">IF((2044-Inputs!$B$9)&lt;2028,0,IF((2044-Inputs!$B$9)&gt;2040,Inputs!$B$140*(1+Inputs!$B$166)^((2044-Inputs!$B$9)-2040),_xlfn.IFS((2044-Inputs!$B$9)=2028,Inputs!$B$128,(2044-Inputs!$B$9)=2029,Inputs!$B$129,(2044-Inputs!$B$9)=2030,Inputs!$B$130,(2044-Inputs!$B$9)=2031,Inputs!$B$131,(2044-Inputs!$B$9)=2032,Inputs!$B$132,(2044-Inputs!$B$9)=2033,Inputs!$B$133,(2044-Inputs!$B$9)=2034,Inputs!$B$134,(2044-Inputs!$B$9)=2035,Inputs!$B$135,(2044-Inputs!$B$9)=2036,Inputs!$B$136,(2044-Inputs!$B$9)=2037,Inputs!$B$137,(2044-Inputs!$B$9)=2038,Inputs!$B$138,(2044-Inputs!$B$9)=2039,Inputs!$B$139,(2044-Inputs!$B$9)=2040,Inputs!$B$140)))</f>
        <v>133.329559058594</v>
      </c>
      <c r="W29" s="40" t="n">
        <f aca="false">IF((2045-Inputs!$B$9)&lt;2028,0,IF((2045-Inputs!$B$9)&gt;2040,Inputs!$B$140*(1+Inputs!$B$166)^((2045-Inputs!$B$9)-2040),_xlfn.IFS((2045-Inputs!$B$9)=2028,Inputs!$B$128,(2045-Inputs!$B$9)=2029,Inputs!$B$129,(2045-Inputs!$B$9)=2030,Inputs!$B$130,(2045-Inputs!$B$9)=2031,Inputs!$B$131,(2045-Inputs!$B$9)=2032,Inputs!$B$132,(2045-Inputs!$B$9)=2033,Inputs!$B$133,(2045-Inputs!$B$9)=2034,Inputs!$B$134,(2045-Inputs!$B$9)=2035,Inputs!$B$135,(2045-Inputs!$B$9)=2036,Inputs!$B$136,(2045-Inputs!$B$9)=2037,Inputs!$B$137,(2045-Inputs!$B$9)=2038,Inputs!$B$138,(2045-Inputs!$B$9)=2039,Inputs!$B$139,(2045-Inputs!$B$9)=2040,Inputs!$B$140)))</f>
        <v>136.662798035059</v>
      </c>
      <c r="X29" s="40" t="n">
        <f aca="false">IF((2046-Inputs!$B$9)&lt;2028,0,IF((2046-Inputs!$B$9)&gt;2040,Inputs!$B$140*(1+Inputs!$B$166)^((2046-Inputs!$B$9)-2040),_xlfn.IFS((2046-Inputs!$B$9)=2028,Inputs!$B$128,(2046-Inputs!$B$9)=2029,Inputs!$B$129,(2046-Inputs!$B$9)=2030,Inputs!$B$130,(2046-Inputs!$B$9)=2031,Inputs!$B$131,(2046-Inputs!$B$9)=2032,Inputs!$B$132,(2046-Inputs!$B$9)=2033,Inputs!$B$133,(2046-Inputs!$B$9)=2034,Inputs!$B$134,(2046-Inputs!$B$9)=2035,Inputs!$B$135,(2046-Inputs!$B$9)=2036,Inputs!$B$136,(2046-Inputs!$B$9)=2037,Inputs!$B$137,(2046-Inputs!$B$9)=2038,Inputs!$B$138,(2046-Inputs!$B$9)=2039,Inputs!$B$139,(2046-Inputs!$B$9)=2040,Inputs!$B$140)))</f>
        <v>140.079367985935</v>
      </c>
      <c r="Y29" s="40" t="n">
        <f aca="false">IF((2047-Inputs!$B$9)&lt;2028,0,IF((2047-Inputs!$B$9)&gt;2040,Inputs!$B$140*(1+Inputs!$B$166)^((2047-Inputs!$B$9)-2040),_xlfn.IFS((2047-Inputs!$B$9)=2028,Inputs!$B$128,(2047-Inputs!$B$9)=2029,Inputs!$B$129,(2047-Inputs!$B$9)=2030,Inputs!$B$130,(2047-Inputs!$B$9)=2031,Inputs!$B$131,(2047-Inputs!$B$9)=2032,Inputs!$B$132,(2047-Inputs!$B$9)=2033,Inputs!$B$133,(2047-Inputs!$B$9)=2034,Inputs!$B$134,(2047-Inputs!$B$9)=2035,Inputs!$B$135,(2047-Inputs!$B$9)=2036,Inputs!$B$136,(2047-Inputs!$B$9)=2037,Inputs!$B$137,(2047-Inputs!$B$9)=2038,Inputs!$B$138,(2047-Inputs!$B$9)=2039,Inputs!$B$139,(2047-Inputs!$B$9)=2040,Inputs!$B$140)))</f>
        <v>143.581352185583</v>
      </c>
      <c r="Z29" s="40" t="n">
        <f aca="false">IF((2048-Inputs!$B$9)&lt;2028,0,IF((2048-Inputs!$B$9)&gt;2040,Inputs!$B$140*(1+Inputs!$B$166)^((2048-Inputs!$B$9)-2040),_xlfn.IFS((2048-Inputs!$B$9)=2028,Inputs!$B$128,(2048-Inputs!$B$9)=2029,Inputs!$B$129,(2048-Inputs!$B$9)=2030,Inputs!$B$130,(2048-Inputs!$B$9)=2031,Inputs!$B$131,(2048-Inputs!$B$9)=2032,Inputs!$B$132,(2048-Inputs!$B$9)=2033,Inputs!$B$133,(2048-Inputs!$B$9)=2034,Inputs!$B$134,(2048-Inputs!$B$9)=2035,Inputs!$B$135,(2048-Inputs!$B$9)=2036,Inputs!$B$136,(2048-Inputs!$B$9)=2037,Inputs!$B$137,(2048-Inputs!$B$9)=2038,Inputs!$B$138,(2048-Inputs!$B$9)=2039,Inputs!$B$139,(2048-Inputs!$B$9)=2040,Inputs!$B$140)))</f>
        <v>147.170885990223</v>
      </c>
      <c r="AA29" s="40" t="n">
        <f aca="false">IF((2049-Inputs!$B$9)&lt;2028,0,IF((2049-Inputs!$B$9)&gt;2040,Inputs!$B$140*(1+Inputs!$B$166)^((2049-Inputs!$B$9)-2040),_xlfn.IFS((2049-Inputs!$B$9)=2028,Inputs!$B$128,(2049-Inputs!$B$9)=2029,Inputs!$B$129,(2049-Inputs!$B$9)=2030,Inputs!$B$130,(2049-Inputs!$B$9)=2031,Inputs!$B$131,(2049-Inputs!$B$9)=2032,Inputs!$B$132,(2049-Inputs!$B$9)=2033,Inputs!$B$133,(2049-Inputs!$B$9)=2034,Inputs!$B$134,(2049-Inputs!$B$9)=2035,Inputs!$B$135,(2049-Inputs!$B$9)=2036,Inputs!$B$136,(2049-Inputs!$B$9)=2037,Inputs!$B$137,(2049-Inputs!$B$9)=2038,Inputs!$B$138,(2049-Inputs!$B$9)=2039,Inputs!$B$139,(2049-Inputs!$B$9)=2040,Inputs!$B$140)))</f>
        <v>150.850158139978</v>
      </c>
      <c r="AB29" s="40" t="n">
        <f aca="false">IF((2050-Inputs!$B$9)&lt;2028,0,IF((2050-Inputs!$B$9)&gt;2040,Inputs!$B$140*(1+Inputs!$B$166)^((2050-Inputs!$B$9)-2040),_xlfn.IFS((2050-Inputs!$B$9)=2028,Inputs!$B$128,(2050-Inputs!$B$9)=2029,Inputs!$B$129,(2050-Inputs!$B$9)=2030,Inputs!$B$130,(2050-Inputs!$B$9)=2031,Inputs!$B$131,(2050-Inputs!$B$9)=2032,Inputs!$B$132,(2050-Inputs!$B$9)=2033,Inputs!$B$133,(2050-Inputs!$B$9)=2034,Inputs!$B$134,(2050-Inputs!$B$9)=2035,Inputs!$B$135,(2050-Inputs!$B$9)=2036,Inputs!$B$136,(2050-Inputs!$B$9)=2037,Inputs!$B$137,(2050-Inputs!$B$9)=2038,Inputs!$B$138,(2050-Inputs!$B$9)=2039,Inputs!$B$139,(2050-Inputs!$B$9)=2040,Inputs!$B$140)))</f>
        <v>154.621412093478</v>
      </c>
      <c r="AC29" s="40" t="n">
        <f aca="false">IF((2051-Inputs!$B$9)&lt;2028,0,IF((2051-Inputs!$B$9)&gt;2040,Inputs!$B$140*(1+Inputs!$B$166)^((2051-Inputs!$B$9)-2040),_xlfn.IFS((2051-Inputs!$B$9)=2028,Inputs!$B$128,(2051-Inputs!$B$9)=2029,Inputs!$B$129,(2051-Inputs!$B$9)=2030,Inputs!$B$130,(2051-Inputs!$B$9)=2031,Inputs!$B$131,(2051-Inputs!$B$9)=2032,Inputs!$B$132,(2051-Inputs!$B$9)=2033,Inputs!$B$133,(2051-Inputs!$B$9)=2034,Inputs!$B$134,(2051-Inputs!$B$9)=2035,Inputs!$B$135,(2051-Inputs!$B$9)=2036,Inputs!$B$136,(2051-Inputs!$B$9)=2037,Inputs!$B$137,(2051-Inputs!$B$9)=2038,Inputs!$B$138,(2051-Inputs!$B$9)=2039,Inputs!$B$139,(2051-Inputs!$B$9)=2040,Inputs!$B$140)))</f>
        <v>158.486947395815</v>
      </c>
      <c r="AD29" s="40" t="n">
        <f aca="false">IF((2052-Inputs!$B$9)&lt;2028,0,IF((2052-Inputs!$B$9)&gt;2040,Inputs!$B$140*(1+Inputs!$B$166)^((2052-Inputs!$B$9)-2040),_xlfn.IFS((2052-Inputs!$B$9)=2028,Inputs!$B$128,(2052-Inputs!$B$9)=2029,Inputs!$B$129,(2052-Inputs!$B$9)=2030,Inputs!$B$130,(2052-Inputs!$B$9)=2031,Inputs!$B$131,(2052-Inputs!$B$9)=2032,Inputs!$B$132,(2052-Inputs!$B$9)=2033,Inputs!$B$133,(2052-Inputs!$B$9)=2034,Inputs!$B$134,(2052-Inputs!$B$9)=2035,Inputs!$B$135,(2052-Inputs!$B$9)=2036,Inputs!$B$136,(2052-Inputs!$B$9)=2037,Inputs!$B$137,(2052-Inputs!$B$9)=2038,Inputs!$B$138,(2052-Inputs!$B$9)=2039,Inputs!$B$139,(2052-Inputs!$B$9)=2040,Inputs!$B$140)))</f>
        <v>162.44912108071</v>
      </c>
      <c r="AE29" s="40" t="n">
        <f aca="false">IF((2053-Inputs!$B$9)&lt;2028,0,IF((2053-Inputs!$B$9)&gt;2040,Inputs!$B$140*(1+Inputs!$B$166)^((2053-Inputs!$B$9)-2040),_xlfn.IFS((2053-Inputs!$B$9)=2028,Inputs!$B$128,(2053-Inputs!$B$9)=2029,Inputs!$B$129,(2053-Inputs!$B$9)=2030,Inputs!$B$130,(2053-Inputs!$B$9)=2031,Inputs!$B$131,(2053-Inputs!$B$9)=2032,Inputs!$B$132,(2053-Inputs!$B$9)=2033,Inputs!$B$133,(2053-Inputs!$B$9)=2034,Inputs!$B$134,(2053-Inputs!$B$9)=2035,Inputs!$B$135,(2053-Inputs!$B$9)=2036,Inputs!$B$136,(2053-Inputs!$B$9)=2037,Inputs!$B$137,(2053-Inputs!$B$9)=2038,Inputs!$B$138,(2053-Inputs!$B$9)=2039,Inputs!$B$139,(2053-Inputs!$B$9)=2040,Inputs!$B$140)))</f>
        <v>166.510349107728</v>
      </c>
      <c r="AF29" s="40" t="n">
        <f aca="false">IF((2054-Inputs!$B$9)&lt;2028,0,IF((2054-Inputs!$B$9)&gt;2040,Inputs!$B$140*(1+Inputs!$B$166)^((2054-Inputs!$B$9)-2040),_xlfn.IFS((2054-Inputs!$B$9)=2028,Inputs!$B$128,(2054-Inputs!$B$9)=2029,Inputs!$B$129,(2054-Inputs!$B$9)=2030,Inputs!$B$130,(2054-Inputs!$B$9)=2031,Inputs!$B$131,(2054-Inputs!$B$9)=2032,Inputs!$B$132,(2054-Inputs!$B$9)=2033,Inputs!$B$133,(2054-Inputs!$B$9)=2034,Inputs!$B$134,(2054-Inputs!$B$9)=2035,Inputs!$B$135,(2054-Inputs!$B$9)=2036,Inputs!$B$136,(2054-Inputs!$B$9)=2037,Inputs!$B$137,(2054-Inputs!$B$9)=2038,Inputs!$B$138,(2054-Inputs!$B$9)=2039,Inputs!$B$139,(2054-Inputs!$B$9)=2040,Inputs!$B$140)))</f>
        <v>170.673107835421</v>
      </c>
      <c r="AG29" s="40" t="n">
        <f aca="false">IF((2055-Inputs!$B$9)&lt;2028,0,IF((2055-Inputs!$B$9)&gt;2040,Inputs!$B$140*(1+Inputs!$B$166)^((2055-Inputs!$B$9)-2040),_xlfn.IFS((2055-Inputs!$B$9)=2028,Inputs!$B$128,(2055-Inputs!$B$9)=2029,Inputs!$B$129,(2055-Inputs!$B$9)=2030,Inputs!$B$130,(2055-Inputs!$B$9)=2031,Inputs!$B$131,(2055-Inputs!$B$9)=2032,Inputs!$B$132,(2055-Inputs!$B$9)=2033,Inputs!$B$133,(2055-Inputs!$B$9)=2034,Inputs!$B$134,(2055-Inputs!$B$9)=2035,Inputs!$B$135,(2055-Inputs!$B$9)=2036,Inputs!$B$136,(2055-Inputs!$B$9)=2037,Inputs!$B$137,(2055-Inputs!$B$9)=2038,Inputs!$B$138,(2055-Inputs!$B$9)=2039,Inputs!$B$139,(2055-Inputs!$B$9)=2040,Inputs!$B$140)))</f>
        <v>174.939935531307</v>
      </c>
      <c r="AH29" s="40" t="n">
        <f aca="false">IF((2056-Inputs!$B$9)&lt;2028,0,IF((2056-Inputs!$B$9)&gt;2040,Inputs!$B$140*(1+Inputs!$B$166)^((2056-Inputs!$B$9)-2040),_xlfn.IFS((2056-Inputs!$B$9)=2028,Inputs!$B$128,(2056-Inputs!$B$9)=2029,Inputs!$B$129,(2056-Inputs!$B$9)=2030,Inputs!$B$130,(2056-Inputs!$B$9)=2031,Inputs!$B$131,(2056-Inputs!$B$9)=2032,Inputs!$B$132,(2056-Inputs!$B$9)=2033,Inputs!$B$133,(2056-Inputs!$B$9)=2034,Inputs!$B$134,(2056-Inputs!$B$9)=2035,Inputs!$B$135,(2056-Inputs!$B$9)=2036,Inputs!$B$136,(2056-Inputs!$B$9)=2037,Inputs!$B$137,(2056-Inputs!$B$9)=2038,Inputs!$B$138,(2056-Inputs!$B$9)=2039,Inputs!$B$139,(2056-Inputs!$B$9)=2040,Inputs!$B$140)))</f>
        <v>179.313433919589</v>
      </c>
      <c r="AI29" s="40" t="n">
        <f aca="false">IF((2057-Inputs!$B$9)&lt;2028,0,IF((2057-Inputs!$B$9)&gt;2040,Inputs!$B$140*(1+Inputs!$B$166)^((2057-Inputs!$B$9)-2040),_xlfn.IFS((2057-Inputs!$B$9)=2028,Inputs!$B$128,(2057-Inputs!$B$9)=2029,Inputs!$B$129,(2057-Inputs!$B$9)=2030,Inputs!$B$130,(2057-Inputs!$B$9)=2031,Inputs!$B$131,(2057-Inputs!$B$9)=2032,Inputs!$B$132,(2057-Inputs!$B$9)=2033,Inputs!$B$133,(2057-Inputs!$B$9)=2034,Inputs!$B$134,(2057-Inputs!$B$9)=2035,Inputs!$B$135,(2057-Inputs!$B$9)=2036,Inputs!$B$136,(2057-Inputs!$B$9)=2037,Inputs!$B$137,(2057-Inputs!$B$9)=2038,Inputs!$B$138,(2057-Inputs!$B$9)=2039,Inputs!$B$139,(2057-Inputs!$B$9)=2040,Inputs!$B$140)))</f>
        <v>183.796269767579</v>
      </c>
      <c r="AJ29" s="40" t="n">
        <f aca="false">IF((2058-Inputs!$B$9)&lt;2028,0,IF((2058-Inputs!$B$9)&gt;2040,Inputs!$B$140*(1+Inputs!$B$166)^((2058-Inputs!$B$9)-2040),_xlfn.IFS((2058-Inputs!$B$9)=2028,Inputs!$B$128,(2058-Inputs!$B$9)=2029,Inputs!$B$129,(2058-Inputs!$B$9)=2030,Inputs!$B$130,(2058-Inputs!$B$9)=2031,Inputs!$B$131,(2058-Inputs!$B$9)=2032,Inputs!$B$132,(2058-Inputs!$B$9)=2033,Inputs!$B$133,(2058-Inputs!$B$9)=2034,Inputs!$B$134,(2058-Inputs!$B$9)=2035,Inputs!$B$135,(2058-Inputs!$B$9)=2036,Inputs!$B$136,(2058-Inputs!$B$9)=2037,Inputs!$B$137,(2058-Inputs!$B$9)=2038,Inputs!$B$138,(2058-Inputs!$B$9)=2039,Inputs!$B$139,(2058-Inputs!$B$9)=2040,Inputs!$B$140)))</f>
        <v>188.391176511769</v>
      </c>
      <c r="AK29" s="40" t="n">
        <f aca="false">IF((2059-Inputs!$B$9)&lt;2028,0,IF((2059-Inputs!$B$9)&gt;2040,Inputs!$B$140*(1+Inputs!$B$166)^((2059-Inputs!$B$9)-2040),_xlfn.IFS((2059-Inputs!$B$9)=2028,Inputs!$B$128,(2059-Inputs!$B$9)=2029,Inputs!$B$129,(2059-Inputs!$B$9)=2030,Inputs!$B$130,(2059-Inputs!$B$9)=2031,Inputs!$B$131,(2059-Inputs!$B$9)=2032,Inputs!$B$132,(2059-Inputs!$B$9)=2033,Inputs!$B$133,(2059-Inputs!$B$9)=2034,Inputs!$B$134,(2059-Inputs!$B$9)=2035,Inputs!$B$135,(2059-Inputs!$B$9)=2036,Inputs!$B$136,(2059-Inputs!$B$9)=2037,Inputs!$B$137,(2059-Inputs!$B$9)=2038,Inputs!$B$138,(2059-Inputs!$B$9)=2039,Inputs!$B$139,(2059-Inputs!$B$9)=2040,Inputs!$B$140)))</f>
        <v>193.100955924563</v>
      </c>
      <c r="AL29" s="40" t="n">
        <f aca="false">IF((2060-Inputs!$B$9)&lt;2028,0,IF((2060-Inputs!$B$9)&gt;2040,Inputs!$B$140*(1+Inputs!$B$166)^((2060-Inputs!$B$9)-2040),_xlfn.IFS((2060-Inputs!$B$9)=2028,Inputs!$B$128,(2060-Inputs!$B$9)=2029,Inputs!$B$129,(2060-Inputs!$B$9)=2030,Inputs!$B$130,(2060-Inputs!$B$9)=2031,Inputs!$B$131,(2060-Inputs!$B$9)=2032,Inputs!$B$132,(2060-Inputs!$B$9)=2033,Inputs!$B$133,(2060-Inputs!$B$9)=2034,Inputs!$B$134,(2060-Inputs!$B$9)=2035,Inputs!$B$135,(2060-Inputs!$B$9)=2036,Inputs!$B$136,(2060-Inputs!$B$9)=2037,Inputs!$B$137,(2060-Inputs!$B$9)=2038,Inputs!$B$138,(2060-Inputs!$B$9)=2039,Inputs!$B$139,(2060-Inputs!$B$9)=2040,Inputs!$B$140)))</f>
        <v>197.928479822677</v>
      </c>
      <c r="AM29" s="40" t="n">
        <f aca="false">IF((2061-Inputs!$B$9)&lt;2028,0,IF((2061-Inputs!$B$9)&gt;2040,Inputs!$B$140*(1+Inputs!$B$166)^((2061-Inputs!$B$9)-2040),_xlfn.IFS((2061-Inputs!$B$9)=2028,Inputs!$B$128,(2061-Inputs!$B$9)=2029,Inputs!$B$129,(2061-Inputs!$B$9)=2030,Inputs!$B$130,(2061-Inputs!$B$9)=2031,Inputs!$B$131,(2061-Inputs!$B$9)=2032,Inputs!$B$132,(2061-Inputs!$B$9)=2033,Inputs!$B$133,(2061-Inputs!$B$9)=2034,Inputs!$B$134,(2061-Inputs!$B$9)=2035,Inputs!$B$135,(2061-Inputs!$B$9)=2036,Inputs!$B$136,(2061-Inputs!$B$9)=2037,Inputs!$B$137,(2061-Inputs!$B$9)=2038,Inputs!$B$138,(2061-Inputs!$B$9)=2039,Inputs!$B$139,(2061-Inputs!$B$9)=2040,Inputs!$B$140)))</f>
        <v>202.876691818244</v>
      </c>
      <c r="AN29" s="40" t="n">
        <f aca="false">IF((2062-Inputs!$B$9)&lt;2028,0,IF((2062-Inputs!$B$9)&gt;2040,Inputs!$B$140*(1+Inputs!$B$166)^((2062-Inputs!$B$9)-2040),_xlfn.IFS((2062-Inputs!$B$9)=2028,Inputs!$B$128,(2062-Inputs!$B$9)=2029,Inputs!$B$129,(2062-Inputs!$B$9)=2030,Inputs!$B$130,(2062-Inputs!$B$9)=2031,Inputs!$B$131,(2062-Inputs!$B$9)=2032,Inputs!$B$132,(2062-Inputs!$B$9)=2033,Inputs!$B$133,(2062-Inputs!$B$9)=2034,Inputs!$B$134,(2062-Inputs!$B$9)=2035,Inputs!$B$135,(2062-Inputs!$B$9)=2036,Inputs!$B$136,(2062-Inputs!$B$9)=2037,Inputs!$B$137,(2062-Inputs!$B$9)=2038,Inputs!$B$138,(2062-Inputs!$B$9)=2039,Inputs!$B$139,(2062-Inputs!$B$9)=2040,Inputs!$B$140)))</f>
        <v>207.9486091137</v>
      </c>
      <c r="AO29" s="40" t="n">
        <f aca="false">IF((2063-Inputs!$B$9)&lt;2028,0,IF((2063-Inputs!$B$9)&gt;2040,Inputs!$B$140*(1+Inputs!$B$166)^((2063-Inputs!$B$9)-2040),_xlfn.IFS((2063-Inputs!$B$9)=2028,Inputs!$B$128,(2063-Inputs!$B$9)=2029,Inputs!$B$129,(2063-Inputs!$B$9)=2030,Inputs!$B$130,(2063-Inputs!$B$9)=2031,Inputs!$B$131,(2063-Inputs!$B$9)=2032,Inputs!$B$132,(2063-Inputs!$B$9)=2033,Inputs!$B$133,(2063-Inputs!$B$9)=2034,Inputs!$B$134,(2063-Inputs!$B$9)=2035,Inputs!$B$135,(2063-Inputs!$B$9)=2036,Inputs!$B$136,(2063-Inputs!$B$9)=2037,Inputs!$B$137,(2063-Inputs!$B$9)=2038,Inputs!$B$138,(2063-Inputs!$B$9)=2039,Inputs!$B$139,(2063-Inputs!$B$9)=2040,Inputs!$B$140)))</f>
        <v>213.147324341542</v>
      </c>
      <c r="AP29" s="40" t="n">
        <f aca="false">IF((2064-Inputs!$B$9)&lt;2028,0,IF((2064-Inputs!$B$9)&gt;2040,Inputs!$B$140*(1+Inputs!$B$166)^((2064-Inputs!$B$9)-2040),_xlfn.IFS((2064-Inputs!$B$9)=2028,Inputs!$B$128,(2064-Inputs!$B$9)=2029,Inputs!$B$129,(2064-Inputs!$B$9)=2030,Inputs!$B$130,(2064-Inputs!$B$9)=2031,Inputs!$B$131,(2064-Inputs!$B$9)=2032,Inputs!$B$132,(2064-Inputs!$B$9)=2033,Inputs!$B$133,(2064-Inputs!$B$9)=2034,Inputs!$B$134,(2064-Inputs!$B$9)=2035,Inputs!$B$135,(2064-Inputs!$B$9)=2036,Inputs!$B$136,(2064-Inputs!$B$9)=2037,Inputs!$B$137,(2064-Inputs!$B$9)=2038,Inputs!$B$138,(2064-Inputs!$B$9)=2039,Inputs!$B$139,(2064-Inputs!$B$9)=2040,Inputs!$B$140)))</f>
        <v>218.476007450081</v>
      </c>
      <c r="AQ29" s="40" t="n">
        <f aca="false">IF((2065-Inputs!$B$9)&lt;2028,0,IF((2065-Inputs!$B$9)&gt;2040,Inputs!$B$140*(1+Inputs!$B$166)^((2065-Inputs!$B$9)-2040),_xlfn.IFS((2065-Inputs!$B$9)=2028,Inputs!$B$128,(2065-Inputs!$B$9)=2029,Inputs!$B$129,(2065-Inputs!$B$9)=2030,Inputs!$B$130,(2065-Inputs!$B$9)=2031,Inputs!$B$131,(2065-Inputs!$B$9)=2032,Inputs!$B$132,(2065-Inputs!$B$9)=2033,Inputs!$B$133,(2065-Inputs!$B$9)=2034,Inputs!$B$134,(2065-Inputs!$B$9)=2035,Inputs!$B$135,(2065-Inputs!$B$9)=2036,Inputs!$B$136,(2065-Inputs!$B$9)=2037,Inputs!$B$137,(2065-Inputs!$B$9)=2038,Inputs!$B$138,(2065-Inputs!$B$9)=2039,Inputs!$B$139,(2065-Inputs!$B$9)=2040,Inputs!$B$140)))</f>
        <v>223.937907636333</v>
      </c>
      <c r="AR29" s="40" t="n">
        <f aca="false">IF((2066-Inputs!$B$9)&lt;2028,0,IF((2066-Inputs!$B$9)&gt;2040,Inputs!$B$140*(1+Inputs!$B$166)^((2066-Inputs!$B$9)-2040),_xlfn.IFS((2066-Inputs!$B$9)=2028,Inputs!$B$128,(2066-Inputs!$B$9)=2029,Inputs!$B$129,(2066-Inputs!$B$9)=2030,Inputs!$B$130,(2066-Inputs!$B$9)=2031,Inputs!$B$131,(2066-Inputs!$B$9)=2032,Inputs!$B$132,(2066-Inputs!$B$9)=2033,Inputs!$B$133,(2066-Inputs!$B$9)=2034,Inputs!$B$134,(2066-Inputs!$B$9)=2035,Inputs!$B$135,(2066-Inputs!$B$9)=2036,Inputs!$B$136,(2066-Inputs!$B$9)=2037,Inputs!$B$137,(2066-Inputs!$B$9)=2038,Inputs!$B$138,(2066-Inputs!$B$9)=2039,Inputs!$B$139,(2066-Inputs!$B$9)=2040,Inputs!$B$140)))</f>
        <v>229.536355327241</v>
      </c>
      <c r="AS29" s="40" t="n">
        <f aca="false">IF((2067-Inputs!$B$9)&lt;2028,0,IF((2067-Inputs!$B$9)&gt;2040,Inputs!$B$140*(1+Inputs!$B$166)^((2067-Inputs!$B$9)-2040),_xlfn.IFS((2067-Inputs!$B$9)=2028,Inputs!$B$128,(2067-Inputs!$B$9)=2029,Inputs!$B$129,(2067-Inputs!$B$9)=2030,Inputs!$B$130,(2067-Inputs!$B$9)=2031,Inputs!$B$131,(2067-Inputs!$B$9)=2032,Inputs!$B$132,(2067-Inputs!$B$9)=2033,Inputs!$B$133,(2067-Inputs!$B$9)=2034,Inputs!$B$134,(2067-Inputs!$B$9)=2035,Inputs!$B$135,(2067-Inputs!$B$9)=2036,Inputs!$B$136,(2067-Inputs!$B$9)=2037,Inputs!$B$137,(2067-Inputs!$B$9)=2038,Inputs!$B$138,(2067-Inputs!$B$9)=2039,Inputs!$B$139,(2067-Inputs!$B$9)=2040,Inputs!$B$140)))</f>
        <v>235.274764210422</v>
      </c>
      <c r="AT29" s="40" t="n">
        <f aca="false">IF((2068-Inputs!$B$9)&lt;2028,0,IF((2068-Inputs!$B$9)&gt;2040,Inputs!$B$140*(1+Inputs!$B$166)^((2068-Inputs!$B$9)-2040),_xlfn.IFS((2068-Inputs!$B$9)=2028,Inputs!$B$128,(2068-Inputs!$B$9)=2029,Inputs!$B$129,(2068-Inputs!$B$9)=2030,Inputs!$B$130,(2068-Inputs!$B$9)=2031,Inputs!$B$131,(2068-Inputs!$B$9)=2032,Inputs!$B$132,(2068-Inputs!$B$9)=2033,Inputs!$B$133,(2068-Inputs!$B$9)=2034,Inputs!$B$134,(2068-Inputs!$B$9)=2035,Inputs!$B$135,(2068-Inputs!$B$9)=2036,Inputs!$B$136,(2068-Inputs!$B$9)=2037,Inputs!$B$137,(2068-Inputs!$B$9)=2038,Inputs!$B$138,(2068-Inputs!$B$9)=2039,Inputs!$B$139,(2068-Inputs!$B$9)=2040,Inputs!$B$140)))</f>
        <v>241.156633315683</v>
      </c>
      <c r="AU29" s="40" t="n">
        <f aca="false">IF((2069-Inputs!$B$9)&lt;2028,0,IF((2069-Inputs!$B$9)&gt;2040,Inputs!$B$140*(1+Inputs!$B$166)^((2069-Inputs!$B$9)-2040),_xlfn.IFS((2069-Inputs!$B$9)=2028,Inputs!$B$128,(2069-Inputs!$B$9)=2029,Inputs!$B$129,(2069-Inputs!$B$9)=2030,Inputs!$B$130,(2069-Inputs!$B$9)=2031,Inputs!$B$131,(2069-Inputs!$B$9)=2032,Inputs!$B$132,(2069-Inputs!$B$9)=2033,Inputs!$B$133,(2069-Inputs!$B$9)=2034,Inputs!$B$134,(2069-Inputs!$B$9)=2035,Inputs!$B$135,(2069-Inputs!$B$9)=2036,Inputs!$B$136,(2069-Inputs!$B$9)=2037,Inputs!$B$137,(2069-Inputs!$B$9)=2038,Inputs!$B$138,(2069-Inputs!$B$9)=2039,Inputs!$B$139,(2069-Inputs!$B$9)=2040,Inputs!$B$140)))</f>
        <v>247.185549148575</v>
      </c>
      <c r="AV29" s="40" t="n">
        <f aca="false">IF((2070-Inputs!$B$9)&lt;2028,0,IF((2070-Inputs!$B$9)&gt;2040,Inputs!$B$140*(1+Inputs!$B$166)^((2070-Inputs!$B$9)-2040),_xlfn.IFS((2070-Inputs!$B$9)=2028,Inputs!$B$128,(2070-Inputs!$B$9)=2029,Inputs!$B$129,(2070-Inputs!$B$9)=2030,Inputs!$B$130,(2070-Inputs!$B$9)=2031,Inputs!$B$131,(2070-Inputs!$B$9)=2032,Inputs!$B$132,(2070-Inputs!$B$9)=2033,Inputs!$B$133,(2070-Inputs!$B$9)=2034,Inputs!$B$134,(2070-Inputs!$B$9)=2035,Inputs!$B$135,(2070-Inputs!$B$9)=2036,Inputs!$B$136,(2070-Inputs!$B$9)=2037,Inputs!$B$137,(2070-Inputs!$B$9)=2038,Inputs!$B$138,(2070-Inputs!$B$9)=2039,Inputs!$B$139,(2070-Inputs!$B$9)=2040,Inputs!$B$140)))</f>
        <v>253.365187877289</v>
      </c>
      <c r="AW29" s="40" t="n">
        <f aca="false">IF((2071-Inputs!$B$9)&lt;2028,0,IF((2071-Inputs!$B$9)&gt;2040,Inputs!$B$140*(1+Inputs!$B$166)^((2071-Inputs!$B$9)-2040),_xlfn.IFS((2071-Inputs!$B$9)=2028,Inputs!$B$128,(2071-Inputs!$B$9)=2029,Inputs!$B$129,(2071-Inputs!$B$9)=2030,Inputs!$B$130,(2071-Inputs!$B$9)=2031,Inputs!$B$131,(2071-Inputs!$B$9)=2032,Inputs!$B$132,(2071-Inputs!$B$9)=2033,Inputs!$B$133,(2071-Inputs!$B$9)=2034,Inputs!$B$134,(2071-Inputs!$B$9)=2035,Inputs!$B$135,(2071-Inputs!$B$9)=2036,Inputs!$B$136,(2071-Inputs!$B$9)=2037,Inputs!$B$137,(2071-Inputs!$B$9)=2038,Inputs!$B$138,(2071-Inputs!$B$9)=2039,Inputs!$B$139,(2071-Inputs!$B$9)=2040,Inputs!$B$140)))</f>
        <v>259.699317574221</v>
      </c>
      <c r="AX29" s="40" t="n">
        <f aca="false">IF((2072-Inputs!$B$9)&lt;2028,0,IF((2072-Inputs!$B$9)&gt;2040,Inputs!$B$140*(1+Inputs!$B$166)^((2072-Inputs!$B$9)-2040),_xlfn.IFS((2072-Inputs!$B$9)=2028,Inputs!$B$128,(2072-Inputs!$B$9)=2029,Inputs!$B$129,(2072-Inputs!$B$9)=2030,Inputs!$B$130,(2072-Inputs!$B$9)=2031,Inputs!$B$131,(2072-Inputs!$B$9)=2032,Inputs!$B$132,(2072-Inputs!$B$9)=2033,Inputs!$B$133,(2072-Inputs!$B$9)=2034,Inputs!$B$134,(2072-Inputs!$B$9)=2035,Inputs!$B$135,(2072-Inputs!$B$9)=2036,Inputs!$B$136,(2072-Inputs!$B$9)=2037,Inputs!$B$137,(2072-Inputs!$B$9)=2038,Inputs!$B$138,(2072-Inputs!$B$9)=2039,Inputs!$B$139,(2072-Inputs!$B$9)=2040,Inputs!$B$140)))</f>
        <v>266.191800513577</v>
      </c>
      <c r="AY29" s="40" t="n">
        <f aca="false">IF((2073-Inputs!$B$9)&lt;2028,0,IF((2073-Inputs!$B$9)&gt;2040,Inputs!$B$140*(1+Inputs!$B$166)^((2073-Inputs!$B$9)-2040),_xlfn.IFS((2073-Inputs!$B$9)=2028,Inputs!$B$128,(2073-Inputs!$B$9)=2029,Inputs!$B$129,(2073-Inputs!$B$9)=2030,Inputs!$B$130,(2073-Inputs!$B$9)=2031,Inputs!$B$131,(2073-Inputs!$B$9)=2032,Inputs!$B$132,(2073-Inputs!$B$9)=2033,Inputs!$B$133,(2073-Inputs!$B$9)=2034,Inputs!$B$134,(2073-Inputs!$B$9)=2035,Inputs!$B$135,(2073-Inputs!$B$9)=2036,Inputs!$B$136,(2073-Inputs!$B$9)=2037,Inputs!$B$137,(2073-Inputs!$B$9)=2038,Inputs!$B$138,(2073-Inputs!$B$9)=2039,Inputs!$B$139,(2073-Inputs!$B$9)=2040,Inputs!$B$140)))</f>
        <v>272.846595526416</v>
      </c>
      <c r="AZ29" s="40" t="n">
        <f aca="false">IF((2074-Inputs!$B$9)&lt;2028,0,IF((2074-Inputs!$B$9)&gt;2040,Inputs!$B$140*(1+Inputs!$B$166)^((2074-Inputs!$B$9)-2040),_xlfn.IFS((2074-Inputs!$B$9)=2028,Inputs!$B$128,(2074-Inputs!$B$9)=2029,Inputs!$B$129,(2074-Inputs!$B$9)=2030,Inputs!$B$130,(2074-Inputs!$B$9)=2031,Inputs!$B$131,(2074-Inputs!$B$9)=2032,Inputs!$B$132,(2074-Inputs!$B$9)=2033,Inputs!$B$133,(2074-Inputs!$B$9)=2034,Inputs!$B$134,(2074-Inputs!$B$9)=2035,Inputs!$B$135,(2074-Inputs!$B$9)=2036,Inputs!$B$136,(2074-Inputs!$B$9)=2037,Inputs!$B$137,(2074-Inputs!$B$9)=2038,Inputs!$B$138,(2074-Inputs!$B$9)=2039,Inputs!$B$139,(2074-Inputs!$B$9)=2040,Inputs!$B$140)))</f>
        <v>279.667760414576</v>
      </c>
    </row>
    <row r="30" customFormat="false" ht="15" hidden="false" customHeight="false" outlineLevel="0" collapsed="false">
      <c r="A30" s="34" t="s">
        <v>138</v>
      </c>
      <c r="D30" s="35" t="n">
        <f aca="false">IF(Inputs!$B$88=2,D26,D25)</f>
        <v>0</v>
      </c>
      <c r="E30" s="35" t="n">
        <f aca="false">IF(Inputs!$B$88=2,E26,E25)</f>
        <v>0</v>
      </c>
      <c r="F30" s="35" t="n">
        <f aca="false">IF(Inputs!$B$88=2,F26,F25)</f>
        <v>104.328</v>
      </c>
      <c r="G30" s="35" t="n">
        <f aca="false">IF(Inputs!$B$88=2,G26,G25)</f>
        <v>110.519</v>
      </c>
      <c r="H30" s="35" t="n">
        <f aca="false">IF(Inputs!$B$88=2,H26,H25)</f>
        <v>115.216</v>
      </c>
      <c r="I30" s="35" t="n">
        <f aca="false">IF(Inputs!$B$88=2,I26,I25)</f>
        <v>119.075</v>
      </c>
      <c r="J30" s="35" t="n">
        <f aca="false">IF(Inputs!$B$88=2,J26,J25)</f>
        <v>125.825</v>
      </c>
      <c r="K30" s="35" t="n">
        <f aca="false">IF(Inputs!$B$88=2,K26,K25)</f>
        <v>132.794</v>
      </c>
      <c r="L30" s="35" t="n">
        <f aca="false">IF(Inputs!$B$88=2,L26,L25)</f>
        <v>140.706</v>
      </c>
      <c r="M30" s="35" t="n">
        <f aca="false">IF(Inputs!$B$88=2,M26,M25)</f>
        <v>149.264</v>
      </c>
      <c r="N30" s="35" t="n">
        <f aca="false">IF(Inputs!$B$88=2,N26,N25)</f>
        <v>156.54</v>
      </c>
      <c r="O30" s="35" t="n">
        <f aca="false">IF(Inputs!$B$88=2,O26,O25)</f>
        <v>163.825</v>
      </c>
      <c r="P30" s="35" t="n">
        <f aca="false">IF(Inputs!$B$88=2,P26,P25)</f>
        <v>171.073</v>
      </c>
      <c r="Q30" s="35" t="n">
        <f aca="false">IF(Inputs!$B$88=2,Q26,Q25)</f>
        <v>178.88</v>
      </c>
      <c r="R30" s="35" t="n">
        <f aca="false">IF(Inputs!$B$88=2,R26,R25)</f>
        <v>187.14</v>
      </c>
      <c r="S30" s="35" t="n">
        <f aca="false">IF(Inputs!$B$88=2,S26,S25)</f>
        <v>191.8185</v>
      </c>
      <c r="T30" s="35" t="n">
        <f aca="false">IF(Inputs!$B$88=2,T26,T25)</f>
        <v>196.6139625</v>
      </c>
      <c r="U30" s="35" t="n">
        <f aca="false">IF(Inputs!$B$88=2,U26,U25)</f>
        <v>201.5293115625</v>
      </c>
      <c r="V30" s="35" t="n">
        <f aca="false">IF(Inputs!$B$88=2,V26,V25)</f>
        <v>206.567544351562</v>
      </c>
      <c r="W30" s="35" t="n">
        <f aca="false">IF(Inputs!$B$88=2,W26,W25)</f>
        <v>211.731732960351</v>
      </c>
      <c r="X30" s="35" t="n">
        <f aca="false">IF(Inputs!$B$88=2,X26,X25)</f>
        <v>217.02502628436</v>
      </c>
      <c r="Y30" s="35" t="n">
        <f aca="false">IF(Inputs!$B$88=2,Y26,Y25)</f>
        <v>222.450651941469</v>
      </c>
      <c r="Z30" s="35" t="n">
        <f aca="false">IF(Inputs!$B$88=2,Z26,Z25)</f>
        <v>228.011918240006</v>
      </c>
      <c r="AA30" s="35" t="n">
        <f aca="false">IF(Inputs!$B$88=2,AA26,AA25)</f>
        <v>233.712216196006</v>
      </c>
      <c r="AB30" s="35" t="n">
        <f aca="false">IF(Inputs!$B$88=2,AB26,AB25)</f>
        <v>239.555021600906</v>
      </c>
      <c r="AC30" s="35" t="n">
        <f aca="false">IF(Inputs!$B$88=2,AC26,AC25)</f>
        <v>245.543897140929</v>
      </c>
      <c r="AD30" s="35" t="n">
        <f aca="false">IF(Inputs!$B$88=2,AD26,AD25)</f>
        <v>251.682494569452</v>
      </c>
      <c r="AE30" s="35" t="n">
        <f aca="false">IF(Inputs!$B$88=2,AE26,AE25)</f>
        <v>257.974556933688</v>
      </c>
      <c r="AF30" s="35" t="n">
        <f aca="false">IF(Inputs!$B$88=2,AF26,AF25)</f>
        <v>264.423920857031</v>
      </c>
      <c r="AG30" s="35" t="n">
        <f aca="false">IF(Inputs!$B$88=2,AG26,AG25)</f>
        <v>271.034518878456</v>
      </c>
      <c r="AH30" s="35" t="n">
        <f aca="false">IF(Inputs!$B$88=2,AH26,AH25)</f>
        <v>277.810381850418</v>
      </c>
      <c r="AI30" s="35" t="n">
        <f aca="false">IF(Inputs!$B$88=2,AI26,AI25)</f>
        <v>284.755641396678</v>
      </c>
      <c r="AJ30" s="35" t="n">
        <f aca="false">IF(Inputs!$B$88=2,AJ26,AJ25)</f>
        <v>291.874532431595</v>
      </c>
      <c r="AK30" s="35" t="n">
        <f aca="false">IF(Inputs!$B$88=2,AK26,AK25)</f>
        <v>299.171395742385</v>
      </c>
      <c r="AL30" s="35" t="n">
        <f aca="false">IF(Inputs!$B$88=2,AL26,AL25)</f>
        <v>306.650680635944</v>
      </c>
      <c r="AM30" s="35" t="n">
        <f aca="false">IF(Inputs!$B$88=2,AM26,AM25)</f>
        <v>314.316947651843</v>
      </c>
      <c r="AN30" s="35" t="n">
        <f aca="false">IF(Inputs!$B$88=2,AN26,AN25)</f>
        <v>322.174871343139</v>
      </c>
      <c r="AO30" s="35" t="n">
        <f aca="false">IF(Inputs!$B$88=2,AO26,AO25)</f>
        <v>330.229243126717</v>
      </c>
      <c r="AP30" s="35" t="n">
        <f aca="false">IF(Inputs!$B$88=2,AP26,AP25)</f>
        <v>338.484974204885</v>
      </c>
      <c r="AQ30" s="35" t="n">
        <f aca="false">IF(Inputs!$B$88=2,AQ26,AQ25)</f>
        <v>346.947098560008</v>
      </c>
      <c r="AR30" s="35" t="n">
        <f aca="false">IF(Inputs!$B$88=2,AR26,AR25)</f>
        <v>355.620776024008</v>
      </c>
      <c r="AS30" s="35" t="n">
        <f aca="false">IF(Inputs!$B$88=2,AS26,AS25)</f>
        <v>364.511295424608</v>
      </c>
      <c r="AT30" s="35" t="n">
        <f aca="false">IF(Inputs!$B$88=2,AT26,AT25)</f>
        <v>373.624077810223</v>
      </c>
      <c r="AU30" s="35" t="n">
        <f aca="false">IF(Inputs!$B$88=2,AU26,AU25)</f>
        <v>382.964679755478</v>
      </c>
      <c r="AV30" s="35" t="n">
        <f aca="false">IF(Inputs!$B$88=2,AV26,AV25)</f>
        <v>392.538796749365</v>
      </c>
      <c r="AW30" s="35" t="n">
        <f aca="false">IF(Inputs!$B$88=2,AW26,AW25)</f>
        <v>402.3522666681</v>
      </c>
      <c r="AX30" s="35" t="n">
        <f aca="false">IF(Inputs!$B$88=2,AX26,AX25)</f>
        <v>412.411073334802</v>
      </c>
      <c r="AY30" s="35" t="n">
        <f aca="false">IF(Inputs!$B$88=2,AY26,AY25)</f>
        <v>422.721350168172</v>
      </c>
      <c r="AZ30" s="35" t="n">
        <f aca="false">IF(Inputs!$B$88=2,AZ26,AZ25)</f>
        <v>433.289383922376</v>
      </c>
    </row>
    <row r="31" customFormat="false" ht="15" hidden="false" customHeight="false" outlineLevel="0" collapsed="false">
      <c r="A31" s="34" t="s">
        <v>139</v>
      </c>
      <c r="D31" s="41" t="n">
        <f aca="false">IF((2026-Inputs!$B$51-Inputs!$B$9)&lt;0,0,IF((2026-Inputs!$B$51-Inputs!$B$9)=0,Inputs!$B$52,1))</f>
        <v>0</v>
      </c>
      <c r="E31" s="41" t="n">
        <f aca="false">IF((2027-Inputs!$B$51-Inputs!$B$9)&lt;0,0,IF((2027-Inputs!$B$51-Inputs!$B$9)=0,Inputs!$B$52,1))</f>
        <v>0</v>
      </c>
      <c r="F31" s="41" t="n">
        <f aca="false">IF((2028-Inputs!$B$51-Inputs!$B$9)&lt;0,0,IF((2028-Inputs!$B$51-Inputs!$B$9)=0,Inputs!$B$52,1))</f>
        <v>0.25</v>
      </c>
      <c r="G31" s="41" t="n">
        <f aca="false">IF((2029-Inputs!$B$51-Inputs!$B$9)&lt;0,0,IF((2029-Inputs!$B$51-Inputs!$B$9)=0,Inputs!$B$52,1))</f>
        <v>1</v>
      </c>
      <c r="H31" s="41" t="n">
        <f aca="false">IF((2030-Inputs!$B$51-Inputs!$B$9)&lt;0,0,IF((2030-Inputs!$B$51-Inputs!$B$9)=0,Inputs!$B$52,1))</f>
        <v>1</v>
      </c>
      <c r="I31" s="41" t="n">
        <f aca="false">IF((2031-Inputs!$B$51-Inputs!$B$9)&lt;0,0,IF((2031-Inputs!$B$51-Inputs!$B$9)=0,Inputs!$B$52,1))</f>
        <v>1</v>
      </c>
      <c r="J31" s="41" t="n">
        <f aca="false">IF((2032-Inputs!$B$51-Inputs!$B$9)&lt;0,0,IF((2032-Inputs!$B$51-Inputs!$B$9)=0,Inputs!$B$52,1))</f>
        <v>1</v>
      </c>
      <c r="K31" s="41" t="n">
        <f aca="false">IF((2033-Inputs!$B$51-Inputs!$B$9)&lt;0,0,IF((2033-Inputs!$B$51-Inputs!$B$9)=0,Inputs!$B$52,1))</f>
        <v>1</v>
      </c>
      <c r="L31" s="41" t="n">
        <f aca="false">IF((2034-Inputs!$B$51-Inputs!$B$9)&lt;0,0,IF((2034-Inputs!$B$51-Inputs!$B$9)=0,Inputs!$B$52,1))</f>
        <v>1</v>
      </c>
      <c r="M31" s="41" t="n">
        <f aca="false">IF((2035-Inputs!$B$51-Inputs!$B$9)&lt;0,0,IF((2035-Inputs!$B$51-Inputs!$B$9)=0,Inputs!$B$52,1))</f>
        <v>1</v>
      </c>
      <c r="N31" s="41" t="n">
        <f aca="false">IF((2036-Inputs!$B$51-Inputs!$B$9)&lt;0,0,IF((2036-Inputs!$B$51-Inputs!$B$9)=0,Inputs!$B$52,1))</f>
        <v>1</v>
      </c>
      <c r="O31" s="41" t="n">
        <f aca="false">IF((2037-Inputs!$B$51-Inputs!$B$9)&lt;0,0,IF((2037-Inputs!$B$51-Inputs!$B$9)=0,Inputs!$B$52,1))</f>
        <v>1</v>
      </c>
      <c r="P31" s="41" t="n">
        <f aca="false">IF((2038-Inputs!$B$51-Inputs!$B$9)&lt;0,0,IF((2038-Inputs!$B$51-Inputs!$B$9)=0,Inputs!$B$52,1))</f>
        <v>1</v>
      </c>
      <c r="Q31" s="41" t="n">
        <f aca="false">IF((2039-Inputs!$B$51-Inputs!$B$9)&lt;0,0,IF((2039-Inputs!$B$51-Inputs!$B$9)=0,Inputs!$B$52,1))</f>
        <v>1</v>
      </c>
      <c r="R31" s="41" t="n">
        <f aca="false">IF((2040-Inputs!$B$51-Inputs!$B$9)&lt;0,0,IF((2040-Inputs!$B$51-Inputs!$B$9)=0,Inputs!$B$52,1))</f>
        <v>1</v>
      </c>
      <c r="S31" s="41" t="n">
        <f aca="false">IF((2041-Inputs!$B$51-Inputs!$B$9)&lt;0,0,IF((2041-Inputs!$B$51-Inputs!$B$9)=0,Inputs!$B$52,1))</f>
        <v>1</v>
      </c>
      <c r="T31" s="41" t="n">
        <f aca="false">IF((2042-Inputs!$B$51-Inputs!$B$9)&lt;0,0,IF((2042-Inputs!$B$51-Inputs!$B$9)=0,Inputs!$B$52,1))</f>
        <v>1</v>
      </c>
      <c r="U31" s="41" t="n">
        <f aca="false">IF((2043-Inputs!$B$51-Inputs!$B$9)&lt;0,0,IF((2043-Inputs!$B$51-Inputs!$B$9)=0,Inputs!$B$52,1))</f>
        <v>1</v>
      </c>
      <c r="V31" s="41" t="n">
        <f aca="false">IF((2044-Inputs!$B$51-Inputs!$B$9)&lt;0,0,IF((2044-Inputs!$B$51-Inputs!$B$9)=0,Inputs!$B$52,1))</f>
        <v>1</v>
      </c>
      <c r="W31" s="41" t="n">
        <f aca="false">IF((2045-Inputs!$B$51-Inputs!$B$9)&lt;0,0,IF((2045-Inputs!$B$51-Inputs!$B$9)=0,Inputs!$B$52,1))</f>
        <v>1</v>
      </c>
      <c r="X31" s="41" t="n">
        <f aca="false">IF((2046-Inputs!$B$51-Inputs!$B$9)&lt;0,0,IF((2046-Inputs!$B$51-Inputs!$B$9)=0,Inputs!$B$52,1))</f>
        <v>1</v>
      </c>
      <c r="Y31" s="41" t="n">
        <f aca="false">IF((2047-Inputs!$B$51-Inputs!$B$9)&lt;0,0,IF((2047-Inputs!$B$51-Inputs!$B$9)=0,Inputs!$B$52,1))</f>
        <v>1</v>
      </c>
      <c r="Z31" s="41" t="n">
        <f aca="false">IF((2048-Inputs!$B$51-Inputs!$B$9)&lt;0,0,IF((2048-Inputs!$B$51-Inputs!$B$9)=0,Inputs!$B$52,1))</f>
        <v>1</v>
      </c>
      <c r="AA31" s="41" t="n">
        <f aca="false">IF((2049-Inputs!$B$51-Inputs!$B$9)&lt;0,0,IF((2049-Inputs!$B$51-Inputs!$B$9)=0,Inputs!$B$52,1))</f>
        <v>1</v>
      </c>
      <c r="AB31" s="41" t="n">
        <f aca="false">IF((2050-Inputs!$B$51-Inputs!$B$9)&lt;0,0,IF((2050-Inputs!$B$51-Inputs!$B$9)=0,Inputs!$B$52,1))</f>
        <v>1</v>
      </c>
      <c r="AC31" s="41" t="n">
        <f aca="false">IF((2051-Inputs!$B$51-Inputs!$B$9)&lt;0,0,IF((2051-Inputs!$B$51-Inputs!$B$9)=0,Inputs!$B$52,1))</f>
        <v>1</v>
      </c>
      <c r="AD31" s="41" t="n">
        <f aca="false">IF((2052-Inputs!$B$51-Inputs!$B$9)&lt;0,0,IF((2052-Inputs!$B$51-Inputs!$B$9)=0,Inputs!$B$52,1))</f>
        <v>1</v>
      </c>
      <c r="AE31" s="41" t="n">
        <f aca="false">IF((2053-Inputs!$B$51-Inputs!$B$9)&lt;0,0,IF((2053-Inputs!$B$51-Inputs!$B$9)=0,Inputs!$B$52,1))</f>
        <v>1</v>
      </c>
      <c r="AF31" s="41" t="n">
        <f aca="false">IF((2054-Inputs!$B$51-Inputs!$B$9)&lt;0,0,IF((2054-Inputs!$B$51-Inputs!$B$9)=0,Inputs!$B$52,1))</f>
        <v>1</v>
      </c>
      <c r="AG31" s="41" t="n">
        <f aca="false">IF((2055-Inputs!$B$51-Inputs!$B$9)&lt;0,0,IF((2055-Inputs!$B$51-Inputs!$B$9)=0,Inputs!$B$52,1))</f>
        <v>1</v>
      </c>
      <c r="AH31" s="41" t="n">
        <f aca="false">IF((2056-Inputs!$B$51-Inputs!$B$9)&lt;0,0,IF((2056-Inputs!$B$51-Inputs!$B$9)=0,Inputs!$B$52,1))</f>
        <v>1</v>
      </c>
      <c r="AI31" s="41" t="n">
        <f aca="false">IF((2057-Inputs!$B$51-Inputs!$B$9)&lt;0,0,IF((2057-Inputs!$B$51-Inputs!$B$9)=0,Inputs!$B$52,1))</f>
        <v>1</v>
      </c>
      <c r="AJ31" s="41" t="n">
        <f aca="false">IF((2058-Inputs!$B$51-Inputs!$B$9)&lt;0,0,IF((2058-Inputs!$B$51-Inputs!$B$9)=0,Inputs!$B$52,1))</f>
        <v>1</v>
      </c>
      <c r="AK31" s="41" t="n">
        <f aca="false">IF((2059-Inputs!$B$51-Inputs!$B$9)&lt;0,0,IF((2059-Inputs!$B$51-Inputs!$B$9)=0,Inputs!$B$52,1))</f>
        <v>1</v>
      </c>
      <c r="AL31" s="41" t="n">
        <f aca="false">IF((2060-Inputs!$B$51-Inputs!$B$9)&lt;0,0,IF((2060-Inputs!$B$51-Inputs!$B$9)=0,Inputs!$B$52,1))</f>
        <v>1</v>
      </c>
      <c r="AM31" s="41" t="n">
        <f aca="false">IF((2061-Inputs!$B$51-Inputs!$B$9)&lt;0,0,IF((2061-Inputs!$B$51-Inputs!$B$9)=0,Inputs!$B$52,1))</f>
        <v>1</v>
      </c>
      <c r="AN31" s="41" t="n">
        <f aca="false">IF((2062-Inputs!$B$51-Inputs!$B$9)&lt;0,0,IF((2062-Inputs!$B$51-Inputs!$B$9)=0,Inputs!$B$52,1))</f>
        <v>1</v>
      </c>
      <c r="AO31" s="41" t="n">
        <f aca="false">IF((2063-Inputs!$B$51-Inputs!$B$9)&lt;0,0,IF((2063-Inputs!$B$51-Inputs!$B$9)=0,Inputs!$B$52,1))</f>
        <v>1</v>
      </c>
      <c r="AP31" s="41" t="n">
        <f aca="false">IF((2064-Inputs!$B$51-Inputs!$B$9)&lt;0,0,IF((2064-Inputs!$B$51-Inputs!$B$9)=0,Inputs!$B$52,1))</f>
        <v>1</v>
      </c>
      <c r="AQ31" s="41" t="n">
        <f aca="false">IF((2065-Inputs!$B$51-Inputs!$B$9)&lt;0,0,IF((2065-Inputs!$B$51-Inputs!$B$9)=0,Inputs!$B$52,1))</f>
        <v>1</v>
      </c>
      <c r="AR31" s="41" t="n">
        <f aca="false">IF((2066-Inputs!$B$51-Inputs!$B$9)&lt;0,0,IF((2066-Inputs!$B$51-Inputs!$B$9)=0,Inputs!$B$52,1))</f>
        <v>1</v>
      </c>
      <c r="AS31" s="41" t="n">
        <f aca="false">IF((2067-Inputs!$B$51-Inputs!$B$9)&lt;0,0,IF((2067-Inputs!$B$51-Inputs!$B$9)=0,Inputs!$B$52,1))</f>
        <v>1</v>
      </c>
      <c r="AT31" s="41" t="n">
        <f aca="false">IF((2068-Inputs!$B$51-Inputs!$B$9)&lt;0,0,IF((2068-Inputs!$B$51-Inputs!$B$9)=0,Inputs!$B$52,1))</f>
        <v>1</v>
      </c>
      <c r="AU31" s="41" t="n">
        <f aca="false">IF((2069-Inputs!$B$51-Inputs!$B$9)&lt;0,0,IF((2069-Inputs!$B$51-Inputs!$B$9)=0,Inputs!$B$52,1))</f>
        <v>1</v>
      </c>
      <c r="AV31" s="41" t="n">
        <f aca="false">IF((2070-Inputs!$B$51-Inputs!$B$9)&lt;0,0,IF((2070-Inputs!$B$51-Inputs!$B$9)=0,Inputs!$B$52,1))</f>
        <v>1</v>
      </c>
      <c r="AW31" s="41" t="n">
        <f aca="false">IF((2071-Inputs!$B$51-Inputs!$B$9)&lt;0,0,IF((2071-Inputs!$B$51-Inputs!$B$9)=0,Inputs!$B$52,1))</f>
        <v>1</v>
      </c>
      <c r="AX31" s="41" t="n">
        <f aca="false">IF((2072-Inputs!$B$51-Inputs!$B$9)&lt;0,0,IF((2072-Inputs!$B$51-Inputs!$B$9)=0,Inputs!$B$52,1))</f>
        <v>1</v>
      </c>
      <c r="AY31" s="41" t="n">
        <f aca="false">IF((2073-Inputs!$B$51-Inputs!$B$9)&lt;0,0,IF((2073-Inputs!$B$51-Inputs!$B$9)=0,Inputs!$B$52,1))</f>
        <v>1</v>
      </c>
      <c r="AZ31" s="41" t="n">
        <f aca="false">IF((2074-Inputs!$B$51-Inputs!$B$9)&lt;0,0,IF((2074-Inputs!$B$51-Inputs!$B$9)=0,Inputs!$B$52,1))</f>
        <v>1</v>
      </c>
    </row>
    <row r="32" customFormat="false" ht="15" hidden="false" customHeight="false" outlineLevel="0" collapsed="false">
      <c r="A32" s="3" t="s">
        <v>140</v>
      </c>
      <c r="C32" s="38" t="n">
        <f aca="false">SUM(D32:AZ32)</f>
        <v>11869.0637408175</v>
      </c>
      <c r="D32" s="38" t="n">
        <f aca="false">D30*D31*Inputs!$B$7</f>
        <v>0</v>
      </c>
      <c r="E32" s="38" t="n">
        <f aca="false">E30*E31*Inputs!$B$7</f>
        <v>0</v>
      </c>
      <c r="F32" s="38" t="n">
        <f aca="false">F30*F31*Inputs!$B$7</f>
        <v>26.082</v>
      </c>
      <c r="G32" s="38" t="n">
        <f aca="false">G30*G31*Inputs!$B$7</f>
        <v>110.519</v>
      </c>
      <c r="H32" s="38" t="n">
        <f aca="false">H30*H31*Inputs!$B$7</f>
        <v>115.216</v>
      </c>
      <c r="I32" s="38" t="n">
        <f aca="false">I30*I31*Inputs!$B$7</f>
        <v>119.075</v>
      </c>
      <c r="J32" s="38" t="n">
        <f aca="false">J30*J31*Inputs!$B$7</f>
        <v>125.825</v>
      </c>
      <c r="K32" s="38" t="n">
        <f aca="false">K30*K31*Inputs!$B$7</f>
        <v>132.794</v>
      </c>
      <c r="L32" s="38" t="n">
        <f aca="false">L30*L31*Inputs!$B$7</f>
        <v>140.706</v>
      </c>
      <c r="M32" s="38" t="n">
        <f aca="false">M30*M31*Inputs!$B$7</f>
        <v>149.264</v>
      </c>
      <c r="N32" s="38" t="n">
        <f aca="false">N30*N31*Inputs!$B$7</f>
        <v>156.54</v>
      </c>
      <c r="O32" s="38" t="n">
        <f aca="false">O30*O31*Inputs!$B$7</f>
        <v>163.825</v>
      </c>
      <c r="P32" s="38" t="n">
        <f aca="false">P30*P31*Inputs!$B$7</f>
        <v>171.073</v>
      </c>
      <c r="Q32" s="38" t="n">
        <f aca="false">Q30*Q31*Inputs!$B$7</f>
        <v>178.88</v>
      </c>
      <c r="R32" s="38" t="n">
        <f aca="false">R30*R31*Inputs!$B$7</f>
        <v>187.14</v>
      </c>
      <c r="S32" s="38" t="n">
        <f aca="false">S30*S31*Inputs!$B$7</f>
        <v>191.8185</v>
      </c>
      <c r="T32" s="38" t="n">
        <f aca="false">T30*T31*Inputs!$B$7</f>
        <v>196.6139625</v>
      </c>
      <c r="U32" s="38" t="n">
        <f aca="false">U30*U31*Inputs!$B$7</f>
        <v>201.5293115625</v>
      </c>
      <c r="V32" s="38" t="n">
        <f aca="false">V30*V31*Inputs!$B$7</f>
        <v>206.567544351562</v>
      </c>
      <c r="W32" s="38" t="n">
        <f aca="false">W30*W31*Inputs!$B$7</f>
        <v>211.731732960351</v>
      </c>
      <c r="X32" s="38" t="n">
        <f aca="false">X30*X31*Inputs!$B$7</f>
        <v>217.02502628436</v>
      </c>
      <c r="Y32" s="38" t="n">
        <f aca="false">Y30*Y31*Inputs!$B$7</f>
        <v>222.450651941469</v>
      </c>
      <c r="Z32" s="38" t="n">
        <f aca="false">Z30*Z31*Inputs!$B$7</f>
        <v>228.011918240006</v>
      </c>
      <c r="AA32" s="38" t="n">
        <f aca="false">AA30*AA31*Inputs!$B$7</f>
        <v>233.712216196006</v>
      </c>
      <c r="AB32" s="38" t="n">
        <f aca="false">AB30*AB31*Inputs!$B$7</f>
        <v>239.555021600906</v>
      </c>
      <c r="AC32" s="38" t="n">
        <f aca="false">AC30*AC31*Inputs!$B$7</f>
        <v>245.543897140929</v>
      </c>
      <c r="AD32" s="38" t="n">
        <f aca="false">AD30*AD31*Inputs!$B$7</f>
        <v>251.682494569452</v>
      </c>
      <c r="AE32" s="38" t="n">
        <f aca="false">AE30*AE31*Inputs!$B$7</f>
        <v>257.974556933688</v>
      </c>
      <c r="AF32" s="38" t="n">
        <f aca="false">AF30*AF31*Inputs!$B$7</f>
        <v>264.423920857031</v>
      </c>
      <c r="AG32" s="38" t="n">
        <f aca="false">AG30*AG31*Inputs!$B$7</f>
        <v>271.034518878456</v>
      </c>
      <c r="AH32" s="38" t="n">
        <f aca="false">AH30*AH31*Inputs!$B$7</f>
        <v>277.810381850418</v>
      </c>
      <c r="AI32" s="38" t="n">
        <f aca="false">AI30*AI31*Inputs!$B$7</f>
        <v>284.755641396678</v>
      </c>
      <c r="AJ32" s="38" t="n">
        <f aca="false">AJ30*AJ31*Inputs!$B$7</f>
        <v>291.874532431595</v>
      </c>
      <c r="AK32" s="38" t="n">
        <f aca="false">AK30*AK31*Inputs!$B$7</f>
        <v>299.171395742385</v>
      </c>
      <c r="AL32" s="38" t="n">
        <f aca="false">AL30*AL31*Inputs!$B$7</f>
        <v>306.650680635944</v>
      </c>
      <c r="AM32" s="38" t="n">
        <f aca="false">AM30*AM31*Inputs!$B$7</f>
        <v>314.316947651843</v>
      </c>
      <c r="AN32" s="38" t="n">
        <f aca="false">AN30*AN31*Inputs!$B$7</f>
        <v>322.174871343139</v>
      </c>
      <c r="AO32" s="38" t="n">
        <f aca="false">AO30*AO31*Inputs!$B$7</f>
        <v>330.229243126717</v>
      </c>
      <c r="AP32" s="38" t="n">
        <f aca="false">AP30*AP31*Inputs!$B$7</f>
        <v>338.484974204885</v>
      </c>
      <c r="AQ32" s="38" t="n">
        <f aca="false">AQ30*AQ31*Inputs!$B$7</f>
        <v>346.947098560008</v>
      </c>
      <c r="AR32" s="38" t="n">
        <f aca="false">AR30*AR31*Inputs!$B$7</f>
        <v>355.620776024008</v>
      </c>
      <c r="AS32" s="38" t="n">
        <f aca="false">AS30*AS31*Inputs!$B$7</f>
        <v>364.511295424608</v>
      </c>
      <c r="AT32" s="38" t="n">
        <f aca="false">AT30*AT31*Inputs!$B$7</f>
        <v>373.624077810223</v>
      </c>
      <c r="AU32" s="38" t="n">
        <f aca="false">AU30*AU31*Inputs!$B$7</f>
        <v>382.964679755478</v>
      </c>
      <c r="AV32" s="38" t="n">
        <f aca="false">AV30*AV31*Inputs!$B$7</f>
        <v>392.538796749365</v>
      </c>
      <c r="AW32" s="38" t="n">
        <f aca="false">AW30*AW31*Inputs!$B$7</f>
        <v>402.3522666681</v>
      </c>
      <c r="AX32" s="38" t="n">
        <f aca="false">AX30*AX31*Inputs!$B$7</f>
        <v>412.411073334802</v>
      </c>
      <c r="AY32" s="38" t="n">
        <f aca="false">AY30*AY31*Inputs!$B$7</f>
        <v>422.721350168172</v>
      </c>
      <c r="AZ32" s="38" t="n">
        <f aca="false">AZ30*AZ31*Inputs!$B$7</f>
        <v>433.289383922376</v>
      </c>
    </row>
    <row r="33" customFormat="false" ht="15" hidden="false" customHeight="false" outlineLevel="0" collapsed="false">
      <c r="A33" s="34" t="s">
        <v>141</v>
      </c>
      <c r="D33" s="40" t="n">
        <f aca="false">IF(D31&gt;0,IF(Inputs!$B$88=2,D29,Inputs!$B$198*(1+Inputs!$B$166)^(2026-2028-Inputs!$B$9)),0)</f>
        <v>0</v>
      </c>
      <c r="E33" s="40" t="n">
        <f aca="false">IF(E31&gt;0,IF(Inputs!$B$88=2,E29,Inputs!$B$198*(1+Inputs!$B$166)^(2027-2028-Inputs!$B$9)),0)</f>
        <v>0</v>
      </c>
      <c r="F33" s="40" t="n">
        <f aca="false">IF(F31&gt;0,IF(Inputs!$B$88=2,F29,Inputs!$B$198*(1+Inputs!$B$166)^(2028-2028-Inputs!$B$9)),0)</f>
        <v>91.91</v>
      </c>
      <c r="G33" s="40" t="n">
        <f aca="false">IF(G31&gt;0,IF(Inputs!$B$88=2,G29,Inputs!$B$198*(1+Inputs!$B$166)^(2029-2028-Inputs!$B$9)),0)</f>
        <v>95.06</v>
      </c>
      <c r="H33" s="40" t="n">
        <f aca="false">IF(H31&gt;0,IF(Inputs!$B$88=2,H29,Inputs!$B$198*(1+Inputs!$B$166)^(2030-2028-Inputs!$B$9)),0)</f>
        <v>97.4</v>
      </c>
      <c r="I33" s="40" t="n">
        <f aca="false">IF(I31&gt;0,IF(Inputs!$B$88=2,I29,Inputs!$B$198*(1+Inputs!$B$166)^(2031-2028-Inputs!$B$9)),0)</f>
        <v>98.85</v>
      </c>
      <c r="J33" s="40" t="n">
        <f aca="false">IF(J31&gt;0,IF(Inputs!$B$88=2,J29,Inputs!$B$198*(1+Inputs!$B$166)^(2032-2028-Inputs!$B$9)),0)</f>
        <v>101.06</v>
      </c>
      <c r="K33" s="40" t="n">
        <f aca="false">IF(K31&gt;0,IF(Inputs!$B$88=2,K29,Inputs!$B$198*(1+Inputs!$B$166)^(2033-2028-Inputs!$B$9)),0)</f>
        <v>103.33</v>
      </c>
      <c r="L33" s="40" t="n">
        <f aca="false">IF(L31&gt;0,IF(Inputs!$B$88=2,L29,Inputs!$B$198*(1+Inputs!$B$166)^(2034-2028-Inputs!$B$9)),0)</f>
        <v>105.64</v>
      </c>
      <c r="M33" s="40" t="n">
        <f aca="false">IF(M31&gt;0,IF(Inputs!$B$88=2,M29,Inputs!$B$198*(1+Inputs!$B$166)^(2035-2028-Inputs!$B$9)),0)</f>
        <v>108.02</v>
      </c>
      <c r="N33" s="40" t="n">
        <f aca="false">IF(N31&gt;0,IF(Inputs!$B$88=2,N29,Inputs!$B$198*(1+Inputs!$B$166)^(2036-2028-Inputs!$B$9)),0)</f>
        <v>110.45</v>
      </c>
      <c r="O33" s="40" t="n">
        <f aca="false">IF(O31&gt;0,IF(Inputs!$B$88=2,O29,Inputs!$B$198*(1+Inputs!$B$166)^(2037-2028-Inputs!$B$9)),0)</f>
        <v>112.94</v>
      </c>
      <c r="P33" s="40" t="n">
        <f aca="false">IF(P31&gt;0,IF(Inputs!$B$88=2,P29,Inputs!$B$198*(1+Inputs!$B$166)^(2038-2028-Inputs!$B$9)),0)</f>
        <v>115.5</v>
      </c>
      <c r="Q33" s="40" t="n">
        <f aca="false">IF(Q31&gt;0,IF(Inputs!$B$88=2,Q29,Inputs!$B$198*(1+Inputs!$B$166)^(2039-2028-Inputs!$B$9)),0)</f>
        <v>118.11</v>
      </c>
      <c r="R33" s="40" t="n">
        <f aca="false">IF(R31&gt;0,IF(Inputs!$B$88=2,R29,Inputs!$B$198*(1+Inputs!$B$166)^(2040-2028-Inputs!$B$9)),0)</f>
        <v>120.79</v>
      </c>
      <c r="S33" s="40" t="n">
        <f aca="false">IF(S31&gt;0,IF(Inputs!$B$88=2,S29,Inputs!$B$198*(1+Inputs!$B$166)^(2041-2028-Inputs!$B$9)),0)</f>
        <v>123.80975</v>
      </c>
      <c r="T33" s="40" t="n">
        <f aca="false">IF(T31&gt;0,IF(Inputs!$B$88=2,T29,Inputs!$B$198*(1+Inputs!$B$166)^(2042-2028-Inputs!$B$9)),0)</f>
        <v>126.90499375</v>
      </c>
      <c r="U33" s="40" t="n">
        <f aca="false">IF(U31&gt;0,IF(Inputs!$B$88=2,U29,Inputs!$B$198*(1+Inputs!$B$166)^(2043-2028-Inputs!$B$9)),0)</f>
        <v>130.07761859375</v>
      </c>
      <c r="V33" s="40" t="n">
        <f aca="false">IF(V31&gt;0,IF(Inputs!$B$88=2,V29,Inputs!$B$198*(1+Inputs!$B$166)^(2044-2028-Inputs!$B$9)),0)</f>
        <v>133.329559058594</v>
      </c>
      <c r="W33" s="40" t="n">
        <f aca="false">IF(W31&gt;0,IF(Inputs!$B$88=2,W29,Inputs!$B$198*(1+Inputs!$B$166)^(2045-2028-Inputs!$B$9)),0)</f>
        <v>136.662798035059</v>
      </c>
      <c r="X33" s="40" t="n">
        <f aca="false">IF(X31&gt;0,IF(Inputs!$B$88=2,X29,Inputs!$B$198*(1+Inputs!$B$166)^(2046-2028-Inputs!$B$9)),0)</f>
        <v>140.079367985935</v>
      </c>
      <c r="Y33" s="40" t="n">
        <f aca="false">IF(Y31&gt;0,IF(Inputs!$B$88=2,Y29,Inputs!$B$198*(1+Inputs!$B$166)^(2047-2028-Inputs!$B$9)),0)</f>
        <v>143.581352185583</v>
      </c>
      <c r="Z33" s="40" t="n">
        <f aca="false">IF(Z31&gt;0,IF(Inputs!$B$88=2,Z29,Inputs!$B$198*(1+Inputs!$B$166)^(2048-2028-Inputs!$B$9)),0)</f>
        <v>147.170885990223</v>
      </c>
      <c r="AA33" s="40" t="n">
        <f aca="false">IF(AA31&gt;0,IF(Inputs!$B$88=2,AA29,Inputs!$B$198*(1+Inputs!$B$166)^(2049-2028-Inputs!$B$9)),0)</f>
        <v>150.850158139978</v>
      </c>
      <c r="AB33" s="40" t="n">
        <f aca="false">IF(AB31&gt;0,IF(Inputs!$B$88=2,AB29,Inputs!$B$198*(1+Inputs!$B$166)^(2050-2028-Inputs!$B$9)),0)</f>
        <v>154.621412093478</v>
      </c>
      <c r="AC33" s="40" t="n">
        <f aca="false">IF(AC31&gt;0,IF(Inputs!$B$88=2,AC29,Inputs!$B$198*(1+Inputs!$B$166)^(2051-2028-Inputs!$B$9)),0)</f>
        <v>158.486947395815</v>
      </c>
      <c r="AD33" s="40" t="n">
        <f aca="false">IF(AD31&gt;0,IF(Inputs!$B$88=2,AD29,Inputs!$B$198*(1+Inputs!$B$166)^(2052-2028-Inputs!$B$9)),0)</f>
        <v>162.44912108071</v>
      </c>
      <c r="AE33" s="40" t="n">
        <f aca="false">IF(AE31&gt;0,IF(Inputs!$B$88=2,AE29,Inputs!$B$198*(1+Inputs!$B$166)^(2053-2028-Inputs!$B$9)),0)</f>
        <v>166.510349107728</v>
      </c>
      <c r="AF33" s="40" t="n">
        <f aca="false">IF(AF31&gt;0,IF(Inputs!$B$88=2,AF29,Inputs!$B$198*(1+Inputs!$B$166)^(2054-2028-Inputs!$B$9)),0)</f>
        <v>170.673107835421</v>
      </c>
      <c r="AG33" s="40" t="n">
        <f aca="false">IF(AG31&gt;0,IF(Inputs!$B$88=2,AG29,Inputs!$B$198*(1+Inputs!$B$166)^(2055-2028-Inputs!$B$9)),0)</f>
        <v>174.939935531307</v>
      </c>
      <c r="AH33" s="40" t="n">
        <f aca="false">IF(AH31&gt;0,IF(Inputs!$B$88=2,AH29,Inputs!$B$198*(1+Inputs!$B$166)^(2056-2028-Inputs!$B$9)),0)</f>
        <v>179.313433919589</v>
      </c>
      <c r="AI33" s="40" t="n">
        <f aca="false">IF(AI31&gt;0,IF(Inputs!$B$88=2,AI29,Inputs!$B$198*(1+Inputs!$B$166)^(2057-2028-Inputs!$B$9)),0)</f>
        <v>183.796269767579</v>
      </c>
      <c r="AJ33" s="40" t="n">
        <f aca="false">IF(AJ31&gt;0,IF(Inputs!$B$88=2,AJ29,Inputs!$B$198*(1+Inputs!$B$166)^(2058-2028-Inputs!$B$9)),0)</f>
        <v>188.391176511769</v>
      </c>
      <c r="AK33" s="40" t="n">
        <f aca="false">IF(AK31&gt;0,IF(Inputs!$B$88=2,AK29,Inputs!$B$198*(1+Inputs!$B$166)^(2059-2028-Inputs!$B$9)),0)</f>
        <v>193.100955924563</v>
      </c>
      <c r="AL33" s="40" t="n">
        <f aca="false">IF(AL31&gt;0,IF(Inputs!$B$88=2,AL29,Inputs!$B$198*(1+Inputs!$B$166)^(2060-2028-Inputs!$B$9)),0)</f>
        <v>197.928479822677</v>
      </c>
      <c r="AM33" s="40" t="n">
        <f aca="false">IF(AM31&gt;0,IF(Inputs!$B$88=2,AM29,Inputs!$B$198*(1+Inputs!$B$166)^(2061-2028-Inputs!$B$9)),0)</f>
        <v>202.876691818244</v>
      </c>
      <c r="AN33" s="40" t="n">
        <f aca="false">IF(AN31&gt;0,IF(Inputs!$B$88=2,AN29,Inputs!$B$198*(1+Inputs!$B$166)^(2062-2028-Inputs!$B$9)),0)</f>
        <v>207.9486091137</v>
      </c>
      <c r="AO33" s="40" t="n">
        <f aca="false">IF(AO31&gt;0,IF(Inputs!$B$88=2,AO29,Inputs!$B$198*(1+Inputs!$B$166)^(2063-2028-Inputs!$B$9)),0)</f>
        <v>213.147324341542</v>
      </c>
      <c r="AP33" s="40" t="n">
        <f aca="false">IF(AP31&gt;0,IF(Inputs!$B$88=2,AP29,Inputs!$B$198*(1+Inputs!$B$166)^(2064-2028-Inputs!$B$9)),0)</f>
        <v>218.476007450081</v>
      </c>
      <c r="AQ33" s="40" t="n">
        <f aca="false">IF(AQ31&gt;0,IF(Inputs!$B$88=2,AQ29,Inputs!$B$198*(1+Inputs!$B$166)^(2065-2028-Inputs!$B$9)),0)</f>
        <v>223.937907636333</v>
      </c>
      <c r="AR33" s="40" t="n">
        <f aca="false">IF(AR31&gt;0,IF(Inputs!$B$88=2,AR29,Inputs!$B$198*(1+Inputs!$B$166)^(2066-2028-Inputs!$B$9)),0)</f>
        <v>229.536355327241</v>
      </c>
      <c r="AS33" s="40" t="n">
        <f aca="false">IF(AS31&gt;0,IF(Inputs!$B$88=2,AS29,Inputs!$B$198*(1+Inputs!$B$166)^(2067-2028-Inputs!$B$9)),0)</f>
        <v>235.274764210422</v>
      </c>
      <c r="AT33" s="40" t="n">
        <f aca="false">IF(AT31&gt;0,IF(Inputs!$B$88=2,AT29,Inputs!$B$198*(1+Inputs!$B$166)^(2068-2028-Inputs!$B$9)),0)</f>
        <v>241.156633315683</v>
      </c>
      <c r="AU33" s="40" t="n">
        <f aca="false">IF(AU31&gt;0,IF(Inputs!$B$88=2,AU29,Inputs!$B$198*(1+Inputs!$B$166)^(2069-2028-Inputs!$B$9)),0)</f>
        <v>247.185549148575</v>
      </c>
      <c r="AV33" s="40" t="n">
        <f aca="false">IF(AV31&gt;0,IF(Inputs!$B$88=2,AV29,Inputs!$B$198*(1+Inputs!$B$166)^(2070-2028-Inputs!$B$9)),0)</f>
        <v>253.365187877289</v>
      </c>
      <c r="AW33" s="40" t="n">
        <f aca="false">IF(AW31&gt;0,IF(Inputs!$B$88=2,AW29,Inputs!$B$198*(1+Inputs!$B$166)^(2071-2028-Inputs!$B$9)),0)</f>
        <v>259.699317574221</v>
      </c>
      <c r="AX33" s="40" t="n">
        <f aca="false">IF(AX31&gt;0,IF(Inputs!$B$88=2,AX29,Inputs!$B$198*(1+Inputs!$B$166)^(2072-2028-Inputs!$B$9)),0)</f>
        <v>266.191800513577</v>
      </c>
      <c r="AY33" s="40" t="n">
        <f aca="false">IF(AY31&gt;0,IF(Inputs!$B$88=2,AY29,Inputs!$B$198*(1+Inputs!$B$166)^(2073-2028-Inputs!$B$9)),0)</f>
        <v>272.846595526416</v>
      </c>
      <c r="AZ33" s="40" t="n">
        <f aca="false">IF(AZ31&gt;0,IF(Inputs!$B$88=2,AZ29,Inputs!$B$198*(1+Inputs!$B$166)^(2074-2028-Inputs!$B$9)),0)</f>
        <v>279.667760414576</v>
      </c>
    </row>
    <row r="34" customFormat="false" ht="15" hidden="false" customHeight="false" outlineLevel="0" collapsed="false">
      <c r="A34" s="34" t="s">
        <v>142</v>
      </c>
      <c r="D34" s="40" t="n">
        <f aca="false">IF(D33&gt;0,D30*Inputs!$B$7/D33*1000,0)</f>
        <v>0</v>
      </c>
      <c r="E34" s="40" t="n">
        <f aca="false">IF(E33&gt;0,E30*Inputs!$B$7/E33*1000,0)</f>
        <v>0</v>
      </c>
      <c r="F34" s="40" t="n">
        <f aca="false">IF(F33&gt;0,F30*Inputs!$B$7/F33*1000,0)</f>
        <v>1135.11043412034</v>
      </c>
      <c r="G34" s="40" t="n">
        <f aca="false">IF(G33&gt;0,G30*Inputs!$B$7/G33*1000,0)</f>
        <v>1162.62360614349</v>
      </c>
      <c r="H34" s="40" t="n">
        <f aca="false">IF(H33&gt;0,H30*Inputs!$B$7/H33*1000,0)</f>
        <v>1182.9158110883</v>
      </c>
      <c r="I34" s="40" t="n">
        <f aca="false">IF(I33&gt;0,I30*Inputs!$B$7/I33*1000,0)</f>
        <v>1204.60293373799</v>
      </c>
      <c r="J34" s="40" t="n">
        <f aca="false">IF(J33&gt;0,J30*Inputs!$B$7/J33*1000,0)</f>
        <v>1245.05244409262</v>
      </c>
      <c r="K34" s="40" t="n">
        <f aca="false">IF(K33&gt;0,K30*Inputs!$B$7/K33*1000,0)</f>
        <v>1285.14468208652</v>
      </c>
      <c r="L34" s="40" t="n">
        <f aca="false">IF(L33&gt;0,L30*Inputs!$B$7/L33*1000,0)</f>
        <v>1331.93865959864</v>
      </c>
      <c r="M34" s="40" t="n">
        <f aca="false">IF(M33&gt;0,M30*Inputs!$B$7/M33*1000,0)</f>
        <v>1381.81818181818</v>
      </c>
      <c r="N34" s="40" t="n">
        <f aca="false">IF(N33&gt;0,N30*Inputs!$B$7/N33*1000,0)</f>
        <v>1417.29289271163</v>
      </c>
      <c r="O34" s="40" t="n">
        <f aca="false">IF(O33&gt;0,O30*Inputs!$B$7/O33*1000,0)</f>
        <v>1450.54896405171</v>
      </c>
      <c r="P34" s="40" t="n">
        <f aca="false">IF(P33&gt;0,P30*Inputs!$B$7/P33*1000,0)</f>
        <v>1481.15151515152</v>
      </c>
      <c r="Q34" s="40" t="n">
        <f aca="false">IF(Q33&gt;0,Q30*Inputs!$B$7/Q33*1000,0)</f>
        <v>1514.52036237406</v>
      </c>
      <c r="R34" s="40" t="n">
        <f aca="false">IF(R33&gt;0,R30*Inputs!$B$7/R33*1000,0)</f>
        <v>1549.30043877804</v>
      </c>
      <c r="S34" s="40" t="n">
        <f aca="false">IF(S33&gt;0,S30*Inputs!$B$7/S33*1000,0)</f>
        <v>1549.30043877804</v>
      </c>
      <c r="T34" s="40" t="n">
        <f aca="false">IF(T33&gt;0,T30*Inputs!$B$7/T33*1000,0)</f>
        <v>1549.30043877804</v>
      </c>
      <c r="U34" s="40" t="n">
        <f aca="false">IF(U33&gt;0,U30*Inputs!$B$7/U33*1000,0)</f>
        <v>1549.30043877804</v>
      </c>
      <c r="V34" s="40" t="n">
        <f aca="false">IF(V33&gt;0,V30*Inputs!$B$7/V33*1000,0)</f>
        <v>1549.30043877804</v>
      </c>
      <c r="W34" s="40" t="n">
        <f aca="false">IF(W33&gt;0,W30*Inputs!$B$7/W33*1000,0)</f>
        <v>1549.30043877804</v>
      </c>
      <c r="X34" s="40" t="n">
        <f aca="false">IF(X33&gt;0,X30*Inputs!$B$7/X33*1000,0)</f>
        <v>1549.30043877804</v>
      </c>
      <c r="Y34" s="40" t="n">
        <f aca="false">IF(Y33&gt;0,Y30*Inputs!$B$7/Y33*1000,0)</f>
        <v>1549.30043877804</v>
      </c>
      <c r="Z34" s="40" t="n">
        <f aca="false">IF(Z33&gt;0,Z30*Inputs!$B$7/Z33*1000,0)</f>
        <v>1549.30043877804</v>
      </c>
      <c r="AA34" s="40" t="n">
        <f aca="false">IF(AA33&gt;0,AA30*Inputs!$B$7/AA33*1000,0)</f>
        <v>1549.30043877804</v>
      </c>
      <c r="AB34" s="40" t="n">
        <f aca="false">IF(AB33&gt;0,AB30*Inputs!$B$7/AB33*1000,0)</f>
        <v>1549.30043877804</v>
      </c>
      <c r="AC34" s="40" t="n">
        <f aca="false">IF(AC33&gt;0,AC30*Inputs!$B$7/AC33*1000,0)</f>
        <v>1549.30043877804</v>
      </c>
      <c r="AD34" s="40" t="n">
        <f aca="false">IF(AD33&gt;0,AD30*Inputs!$B$7/AD33*1000,0)</f>
        <v>1549.30043877804</v>
      </c>
      <c r="AE34" s="40" t="n">
        <f aca="false">IF(AE33&gt;0,AE30*Inputs!$B$7/AE33*1000,0)</f>
        <v>1549.30043877804</v>
      </c>
      <c r="AF34" s="40" t="n">
        <f aca="false">IF(AF33&gt;0,AF30*Inputs!$B$7/AF33*1000,0)</f>
        <v>1549.30043877804</v>
      </c>
      <c r="AG34" s="40" t="n">
        <f aca="false">IF(AG33&gt;0,AG30*Inputs!$B$7/AG33*1000,0)</f>
        <v>1549.30043877804</v>
      </c>
      <c r="AH34" s="40" t="n">
        <f aca="false">IF(AH33&gt;0,AH30*Inputs!$B$7/AH33*1000,0)</f>
        <v>1549.30043877804</v>
      </c>
      <c r="AI34" s="40" t="n">
        <f aca="false">IF(AI33&gt;0,AI30*Inputs!$B$7/AI33*1000,0)</f>
        <v>1549.30043877804</v>
      </c>
      <c r="AJ34" s="40" t="n">
        <f aca="false">IF(AJ33&gt;0,AJ30*Inputs!$B$7/AJ33*1000,0)</f>
        <v>1549.30043877804</v>
      </c>
      <c r="AK34" s="40" t="n">
        <f aca="false">IF(AK33&gt;0,AK30*Inputs!$B$7/AK33*1000,0)</f>
        <v>1549.30043877804</v>
      </c>
      <c r="AL34" s="40" t="n">
        <f aca="false">IF(AL33&gt;0,AL30*Inputs!$B$7/AL33*1000,0)</f>
        <v>1549.30043877804</v>
      </c>
      <c r="AM34" s="40" t="n">
        <f aca="false">IF(AM33&gt;0,AM30*Inputs!$B$7/AM33*1000,0)</f>
        <v>1549.30043877804</v>
      </c>
      <c r="AN34" s="40" t="n">
        <f aca="false">IF(AN33&gt;0,AN30*Inputs!$B$7/AN33*1000,0)</f>
        <v>1549.30043877804</v>
      </c>
      <c r="AO34" s="40" t="n">
        <f aca="false">IF(AO33&gt;0,AO30*Inputs!$B$7/AO33*1000,0)</f>
        <v>1549.30043877804</v>
      </c>
      <c r="AP34" s="40" t="n">
        <f aca="false">IF(AP33&gt;0,AP30*Inputs!$B$7/AP33*1000,0)</f>
        <v>1549.30043877804</v>
      </c>
      <c r="AQ34" s="40" t="n">
        <f aca="false">IF(AQ33&gt;0,AQ30*Inputs!$B$7/AQ33*1000,0)</f>
        <v>1549.30043877804</v>
      </c>
      <c r="AR34" s="40" t="n">
        <f aca="false">IF(AR33&gt;0,AR30*Inputs!$B$7/AR33*1000,0)</f>
        <v>1549.30043877804</v>
      </c>
      <c r="AS34" s="40" t="n">
        <f aca="false">IF(AS33&gt;0,AS30*Inputs!$B$7/AS33*1000,0)</f>
        <v>1549.30043877804</v>
      </c>
      <c r="AT34" s="40" t="n">
        <f aca="false">IF(AT33&gt;0,AT30*Inputs!$B$7/AT33*1000,0)</f>
        <v>1549.30043877804</v>
      </c>
      <c r="AU34" s="40" t="n">
        <f aca="false">IF(AU33&gt;0,AU30*Inputs!$B$7/AU33*1000,0)</f>
        <v>1549.30043877804</v>
      </c>
      <c r="AV34" s="40" t="n">
        <f aca="false">IF(AV33&gt;0,AV30*Inputs!$B$7/AV33*1000,0)</f>
        <v>1549.30043877804</v>
      </c>
      <c r="AW34" s="40" t="n">
        <f aca="false">IF(AW33&gt;0,AW30*Inputs!$B$7/AW33*1000,0)</f>
        <v>1549.30043877804</v>
      </c>
      <c r="AX34" s="40" t="n">
        <f aca="false">IF(AX33&gt;0,AX30*Inputs!$B$7/AX33*1000,0)</f>
        <v>1549.30043877804</v>
      </c>
      <c r="AY34" s="40" t="n">
        <f aca="false">IF(AY33&gt;0,AY30*Inputs!$B$7/AY33*1000,0)</f>
        <v>1549.30043877804</v>
      </c>
      <c r="AZ34" s="40" t="n">
        <f aca="false">IF(AZ33&gt;0,AZ30*Inputs!$B$7/AZ33*1000,0)</f>
        <v>1549.30043877804</v>
      </c>
    </row>
    <row r="35" customFormat="false" ht="15" hidden="false" customHeight="false" outlineLevel="0" collapsed="false">
      <c r="A35" s="34" t="s">
        <v>143</v>
      </c>
      <c r="C35" s="35" t="n">
        <f aca="false">SUM(D35:AZ35)</f>
        <v>5057.11697701456</v>
      </c>
      <c r="D35" s="35" t="n">
        <f aca="false">IF(Inputs!$B$88=2,D32*D27,D32*Inputs!$B$141)</f>
        <v>0</v>
      </c>
      <c r="E35" s="35" t="n">
        <f aca="false">IF(Inputs!$B$88=2,E32*E27,E32*Inputs!$B$141)</f>
        <v>0</v>
      </c>
      <c r="F35" s="35" t="n">
        <f aca="false">IF(Inputs!$B$88=2,F32*F27,F32*Inputs!$B$141)</f>
        <v>9.251</v>
      </c>
      <c r="G35" s="35" t="n">
        <f aca="false">IF(Inputs!$B$88=2,G32*G27,G32*Inputs!$B$141)</f>
        <v>36.978</v>
      </c>
      <c r="H35" s="35" t="n">
        <f aca="false">IF(Inputs!$B$88=2,H32*H27,H32*Inputs!$B$141)</f>
        <v>39.513</v>
      </c>
      <c r="I35" s="35" t="n">
        <f aca="false">IF(Inputs!$B$88=2,I32*I27,I32*Inputs!$B$141)</f>
        <v>41.366</v>
      </c>
      <c r="J35" s="35" t="n">
        <f aca="false">IF(Inputs!$B$88=2,J32*J27,J32*Inputs!$B$141)</f>
        <v>45.172</v>
      </c>
      <c r="K35" s="35" t="n">
        <f aca="false">IF(Inputs!$B$88=2,K32*K27,K32*Inputs!$B$141)</f>
        <v>49.209</v>
      </c>
      <c r="L35" s="35" t="n">
        <f aca="false">IF(Inputs!$B$88=2,L32*L27,L32*Inputs!$B$141)</f>
        <v>53.858</v>
      </c>
      <c r="M35" s="35" t="n">
        <f aca="false">IF(Inputs!$B$88=2,M32*M27,M32*Inputs!$B$141)</f>
        <v>58.961</v>
      </c>
      <c r="N35" s="35" t="n">
        <f aca="false">IF(Inputs!$B$88=2,N32*N27,N32*Inputs!$B$141)</f>
        <v>63.23</v>
      </c>
      <c r="O35" s="35" t="n">
        <f aca="false">IF(Inputs!$B$88=2,O32*O27,O32*Inputs!$B$141)</f>
        <v>67.43</v>
      </c>
      <c r="P35" s="35" t="n">
        <f aca="false">IF(Inputs!$B$88=2,P32*P27,P32*Inputs!$B$141)</f>
        <v>71.589</v>
      </c>
      <c r="Q35" s="35" t="n">
        <f aca="false">IF(Inputs!$B$88=2,Q32*Q27,Q32*Inputs!$B$141)</f>
        <v>76.099</v>
      </c>
      <c r="R35" s="35" t="n">
        <f aca="false">IF(Inputs!$B$88=2,R32*R27,R32*Inputs!$B$141)</f>
        <v>80.914</v>
      </c>
      <c r="S35" s="35" t="n">
        <f aca="false">IF(Inputs!$B$88=2,S32*S27,S32*Inputs!$B$141)</f>
        <v>82.93685</v>
      </c>
      <c r="T35" s="35" t="n">
        <f aca="false">IF(Inputs!$B$88=2,T32*T27,T32*Inputs!$B$141)</f>
        <v>85.01027125</v>
      </c>
      <c r="U35" s="35" t="n">
        <f aca="false">IF(Inputs!$B$88=2,U32*U27,U32*Inputs!$B$141)</f>
        <v>87.13552803125</v>
      </c>
      <c r="V35" s="35" t="n">
        <f aca="false">IF(Inputs!$B$88=2,V32*V27,V32*Inputs!$B$141)</f>
        <v>89.3139162320312</v>
      </c>
      <c r="W35" s="35" t="n">
        <f aca="false">IF(Inputs!$B$88=2,W32*W27,W32*Inputs!$B$141)</f>
        <v>91.546764137832</v>
      </c>
      <c r="X35" s="35" t="n">
        <f aca="false">IF(Inputs!$B$88=2,X32*X27,X32*Inputs!$B$141)</f>
        <v>93.8354332412778</v>
      </c>
      <c r="Y35" s="35" t="n">
        <f aca="false">IF(Inputs!$B$88=2,Y32*Y27,Y32*Inputs!$B$141)</f>
        <v>96.1813190723097</v>
      </c>
      <c r="Z35" s="35" t="n">
        <f aca="false">IF(Inputs!$B$88=2,Z32*Z27,Z32*Inputs!$B$141)</f>
        <v>98.5858520491175</v>
      </c>
      <c r="AA35" s="35" t="n">
        <f aca="false">IF(Inputs!$B$88=2,AA32*AA27,AA32*Inputs!$B$141)</f>
        <v>101.050498350345</v>
      </c>
      <c r="AB35" s="35" t="n">
        <f aca="false">IF(Inputs!$B$88=2,AB32*AB27,AB32*Inputs!$B$141)</f>
        <v>103.576760809104</v>
      </c>
      <c r="AC35" s="35" t="n">
        <f aca="false">IF(Inputs!$B$88=2,AC32*AC27,AC32*Inputs!$B$141)</f>
        <v>106.166179829332</v>
      </c>
      <c r="AD35" s="35" t="n">
        <f aca="false">IF(Inputs!$B$88=2,AD32*AD27,AD32*Inputs!$B$141)</f>
        <v>108.820334325065</v>
      </c>
      <c r="AE35" s="35" t="n">
        <f aca="false">IF(Inputs!$B$88=2,AE32*AE27,AE32*Inputs!$B$141)</f>
        <v>111.540842683191</v>
      </c>
      <c r="AF35" s="35" t="n">
        <f aca="false">IF(Inputs!$B$88=2,AF32*AF27,AF32*Inputs!$B$141)</f>
        <v>114.329363750271</v>
      </c>
      <c r="AG35" s="35" t="n">
        <f aca="false">IF(Inputs!$B$88=2,AG32*AG27,AG32*Inputs!$B$141)</f>
        <v>117.187597844028</v>
      </c>
      <c r="AH35" s="35" t="n">
        <f aca="false">IF(Inputs!$B$88=2,AH32*AH27,AH32*Inputs!$B$141)</f>
        <v>120.117287790129</v>
      </c>
      <c r="AI35" s="35" t="n">
        <f aca="false">IF(Inputs!$B$88=2,AI32*AI27,AI32*Inputs!$B$141)</f>
        <v>123.120219984882</v>
      </c>
      <c r="AJ35" s="35" t="n">
        <f aca="false">IF(Inputs!$B$88=2,AJ32*AJ27,AJ32*Inputs!$B$141)</f>
        <v>126.198225484504</v>
      </c>
      <c r="AK35" s="35" t="n">
        <f aca="false">IF(Inputs!$B$88=2,AK32*AK27,AK32*Inputs!$B$141)</f>
        <v>129.353181121617</v>
      </c>
      <c r="AL35" s="35" t="n">
        <f aca="false">IF(Inputs!$B$88=2,AL32*AL27,AL32*Inputs!$B$141)</f>
        <v>132.587010649657</v>
      </c>
      <c r="AM35" s="35" t="n">
        <f aca="false">IF(Inputs!$B$88=2,AM32*AM27,AM32*Inputs!$B$141)</f>
        <v>135.901685915898</v>
      </c>
      <c r="AN35" s="35" t="n">
        <f aca="false">IF(Inputs!$B$88=2,AN32*AN27,AN32*Inputs!$B$141)</f>
        <v>139.299228063796</v>
      </c>
      <c r="AO35" s="35" t="n">
        <f aca="false">IF(Inputs!$B$88=2,AO32*AO27,AO32*Inputs!$B$141)</f>
        <v>142.781708765391</v>
      </c>
      <c r="AP35" s="35" t="n">
        <f aca="false">IF(Inputs!$B$88=2,AP32*AP27,AP32*Inputs!$B$141)</f>
        <v>146.351251484525</v>
      </c>
      <c r="AQ35" s="35" t="n">
        <f aca="false">IF(Inputs!$B$88=2,AQ32*AQ27,AQ32*Inputs!$B$141)</f>
        <v>150.010032771639</v>
      </c>
      <c r="AR35" s="35" t="n">
        <f aca="false">IF(Inputs!$B$88=2,AR32*AR27,AR32*Inputs!$B$141)</f>
        <v>153.76028359093</v>
      </c>
      <c r="AS35" s="35" t="n">
        <f aca="false">IF(Inputs!$B$88=2,AS32*AS27,AS32*Inputs!$B$141)</f>
        <v>157.604290680703</v>
      </c>
      <c r="AT35" s="35" t="n">
        <f aca="false">IF(Inputs!$B$88=2,AT32*AT27,AT32*Inputs!$B$141)</f>
        <v>161.54439794772</v>
      </c>
      <c r="AU35" s="35" t="n">
        <f aca="false">IF(Inputs!$B$88=2,AU32*AU27,AU32*Inputs!$B$141)</f>
        <v>165.583007896413</v>
      </c>
      <c r="AV35" s="35" t="n">
        <f aca="false">IF(Inputs!$B$88=2,AV32*AV27,AV32*Inputs!$B$141)</f>
        <v>169.722583093824</v>
      </c>
      <c r="AW35" s="35" t="n">
        <f aca="false">IF(Inputs!$B$88=2,AW32*AW27,AW32*Inputs!$B$141)</f>
        <v>173.965647671169</v>
      </c>
      <c r="AX35" s="35" t="n">
        <f aca="false">IF(Inputs!$B$88=2,AX32*AX27,AX32*Inputs!$B$141)</f>
        <v>178.314788862948</v>
      </c>
      <c r="AY35" s="35" t="n">
        <f aca="false">IF(Inputs!$B$88=2,AY32*AY27,AY32*Inputs!$B$141)</f>
        <v>182.772658584522</v>
      </c>
      <c r="AZ35" s="35" t="n">
        <f aca="false">IF(Inputs!$B$88=2,AZ32*AZ27,AZ32*Inputs!$B$141)</f>
        <v>187.341975049135</v>
      </c>
    </row>
    <row r="36" customFormat="false" ht="15" hidden="false" customHeight="false" outlineLevel="0" collapsed="false">
      <c r="A36" s="34" t="s">
        <v>144</v>
      </c>
      <c r="C36" s="35" t="n">
        <f aca="false">SUM(D36:AZ36)</f>
        <v>0</v>
      </c>
      <c r="D36" s="35" t="n">
        <f aca="false">IF(Inputs!$B$88=2,0,-(D32*Inputs!$B$142+D35*Inputs!$B$143))</f>
        <v>0</v>
      </c>
      <c r="E36" s="35" t="n">
        <f aca="false">IF(Inputs!$B$88=2,0,-(E32*Inputs!$B$142+E35*Inputs!$B$143))</f>
        <v>0</v>
      </c>
      <c r="F36" s="35" t="n">
        <f aca="false">IF(Inputs!$B$88=2,0,-(F32*Inputs!$B$142+F35*Inputs!$B$143))</f>
        <v>0</v>
      </c>
      <c r="G36" s="35" t="n">
        <f aca="false">IF(Inputs!$B$88=2,0,-(G32*Inputs!$B$142+G35*Inputs!$B$143))</f>
        <v>0</v>
      </c>
      <c r="H36" s="35" t="n">
        <f aca="false">IF(Inputs!$B$88=2,0,-(H32*Inputs!$B$142+H35*Inputs!$B$143))</f>
        <v>0</v>
      </c>
      <c r="I36" s="35" t="n">
        <f aca="false">IF(Inputs!$B$88=2,0,-(I32*Inputs!$B$142+I35*Inputs!$B$143))</f>
        <v>0</v>
      </c>
      <c r="J36" s="35" t="n">
        <f aca="false">IF(Inputs!$B$88=2,0,-(J32*Inputs!$B$142+J35*Inputs!$B$143))</f>
        <v>0</v>
      </c>
      <c r="K36" s="35" t="n">
        <f aca="false">IF(Inputs!$B$88=2,0,-(K32*Inputs!$B$142+K35*Inputs!$B$143))</f>
        <v>0</v>
      </c>
      <c r="L36" s="35" t="n">
        <f aca="false">IF(Inputs!$B$88=2,0,-(L32*Inputs!$B$142+L35*Inputs!$B$143))</f>
        <v>0</v>
      </c>
      <c r="M36" s="35" t="n">
        <f aca="false">IF(Inputs!$B$88=2,0,-(M32*Inputs!$B$142+M35*Inputs!$B$143))</f>
        <v>0</v>
      </c>
      <c r="N36" s="35" t="n">
        <f aca="false">IF(Inputs!$B$88=2,0,-(N32*Inputs!$B$142+N35*Inputs!$B$143))</f>
        <v>0</v>
      </c>
      <c r="O36" s="35" t="n">
        <f aca="false">IF(Inputs!$B$88=2,0,-(O32*Inputs!$B$142+O35*Inputs!$B$143))</f>
        <v>0</v>
      </c>
      <c r="P36" s="35" t="n">
        <f aca="false">IF(Inputs!$B$88=2,0,-(P32*Inputs!$B$142+P35*Inputs!$B$143))</f>
        <v>0</v>
      </c>
      <c r="Q36" s="35" t="n">
        <f aca="false">IF(Inputs!$B$88=2,0,-(Q32*Inputs!$B$142+Q35*Inputs!$B$143))</f>
        <v>0</v>
      </c>
      <c r="R36" s="35" t="n">
        <f aca="false">IF(Inputs!$B$88=2,0,-(R32*Inputs!$B$142+R35*Inputs!$B$143))</f>
        <v>0</v>
      </c>
      <c r="S36" s="35" t="n">
        <f aca="false">IF(Inputs!$B$88=2,0,-(S32*Inputs!$B$142+S35*Inputs!$B$143))</f>
        <v>0</v>
      </c>
      <c r="T36" s="35" t="n">
        <f aca="false">IF(Inputs!$B$88=2,0,-(T32*Inputs!$B$142+T35*Inputs!$B$143))</f>
        <v>0</v>
      </c>
      <c r="U36" s="35" t="n">
        <f aca="false">IF(Inputs!$B$88=2,0,-(U32*Inputs!$B$142+U35*Inputs!$B$143))</f>
        <v>0</v>
      </c>
      <c r="V36" s="35" t="n">
        <f aca="false">IF(Inputs!$B$88=2,0,-(V32*Inputs!$B$142+V35*Inputs!$B$143))</f>
        <v>0</v>
      </c>
      <c r="W36" s="35" t="n">
        <f aca="false">IF(Inputs!$B$88=2,0,-(W32*Inputs!$B$142+W35*Inputs!$B$143))</f>
        <v>0</v>
      </c>
      <c r="X36" s="35" t="n">
        <f aca="false">IF(Inputs!$B$88=2,0,-(X32*Inputs!$B$142+X35*Inputs!$B$143))</f>
        <v>0</v>
      </c>
      <c r="Y36" s="35" t="n">
        <f aca="false">IF(Inputs!$B$88=2,0,-(Y32*Inputs!$B$142+Y35*Inputs!$B$143))</f>
        <v>0</v>
      </c>
      <c r="Z36" s="35" t="n">
        <f aca="false">IF(Inputs!$B$88=2,0,-(Z32*Inputs!$B$142+Z35*Inputs!$B$143))</f>
        <v>0</v>
      </c>
      <c r="AA36" s="35" t="n">
        <f aca="false">IF(Inputs!$B$88=2,0,-(AA32*Inputs!$B$142+AA35*Inputs!$B$143))</f>
        <v>0</v>
      </c>
      <c r="AB36" s="35" t="n">
        <f aca="false">IF(Inputs!$B$88=2,0,-(AB32*Inputs!$B$142+AB35*Inputs!$B$143))</f>
        <v>0</v>
      </c>
      <c r="AC36" s="35" t="n">
        <f aca="false">IF(Inputs!$B$88=2,0,-(AC32*Inputs!$B$142+AC35*Inputs!$B$143))</f>
        <v>0</v>
      </c>
      <c r="AD36" s="35" t="n">
        <f aca="false">IF(Inputs!$B$88=2,0,-(AD32*Inputs!$B$142+AD35*Inputs!$B$143))</f>
        <v>0</v>
      </c>
      <c r="AE36" s="35" t="n">
        <f aca="false">IF(Inputs!$B$88=2,0,-(AE32*Inputs!$B$142+AE35*Inputs!$B$143))</f>
        <v>0</v>
      </c>
      <c r="AF36" s="35" t="n">
        <f aca="false">IF(Inputs!$B$88=2,0,-(AF32*Inputs!$B$142+AF35*Inputs!$B$143))</f>
        <v>0</v>
      </c>
      <c r="AG36" s="35" t="n">
        <f aca="false">IF(Inputs!$B$88=2,0,-(AG32*Inputs!$B$142+AG35*Inputs!$B$143))</f>
        <v>0</v>
      </c>
      <c r="AH36" s="35" t="n">
        <f aca="false">IF(Inputs!$B$88=2,0,-(AH32*Inputs!$B$142+AH35*Inputs!$B$143))</f>
        <v>0</v>
      </c>
      <c r="AI36" s="35" t="n">
        <f aca="false">IF(Inputs!$B$88=2,0,-(AI32*Inputs!$B$142+AI35*Inputs!$B$143))</f>
        <v>0</v>
      </c>
      <c r="AJ36" s="35" t="n">
        <f aca="false">IF(Inputs!$B$88=2,0,-(AJ32*Inputs!$B$142+AJ35*Inputs!$B$143))</f>
        <v>0</v>
      </c>
      <c r="AK36" s="35" t="n">
        <f aca="false">IF(Inputs!$B$88=2,0,-(AK32*Inputs!$B$142+AK35*Inputs!$B$143))</f>
        <v>0</v>
      </c>
      <c r="AL36" s="35" t="n">
        <f aca="false">IF(Inputs!$B$88=2,0,-(AL32*Inputs!$B$142+AL35*Inputs!$B$143))</f>
        <v>0</v>
      </c>
      <c r="AM36" s="35" t="n">
        <f aca="false">IF(Inputs!$B$88=2,0,-(AM32*Inputs!$B$142+AM35*Inputs!$B$143))</f>
        <v>0</v>
      </c>
      <c r="AN36" s="35" t="n">
        <f aca="false">IF(Inputs!$B$88=2,0,-(AN32*Inputs!$B$142+AN35*Inputs!$B$143))</f>
        <v>0</v>
      </c>
      <c r="AO36" s="35" t="n">
        <f aca="false">IF(Inputs!$B$88=2,0,-(AO32*Inputs!$B$142+AO35*Inputs!$B$143))</f>
        <v>0</v>
      </c>
      <c r="AP36" s="35" t="n">
        <f aca="false">IF(Inputs!$B$88=2,0,-(AP32*Inputs!$B$142+AP35*Inputs!$B$143))</f>
        <v>0</v>
      </c>
      <c r="AQ36" s="35" t="n">
        <f aca="false">IF(Inputs!$B$88=2,0,-(AQ32*Inputs!$B$142+AQ35*Inputs!$B$143))</f>
        <v>0</v>
      </c>
      <c r="AR36" s="35" t="n">
        <f aca="false">IF(Inputs!$B$88=2,0,-(AR32*Inputs!$B$142+AR35*Inputs!$B$143))</f>
        <v>0</v>
      </c>
      <c r="AS36" s="35" t="n">
        <f aca="false">IF(Inputs!$B$88=2,0,-(AS32*Inputs!$B$142+AS35*Inputs!$B$143))</f>
        <v>0</v>
      </c>
      <c r="AT36" s="35" t="n">
        <f aca="false">IF(Inputs!$B$88=2,0,-(AT32*Inputs!$B$142+AT35*Inputs!$B$143))</f>
        <v>0</v>
      </c>
      <c r="AU36" s="35" t="n">
        <f aca="false">IF(Inputs!$B$88=2,0,-(AU32*Inputs!$B$142+AU35*Inputs!$B$143))</f>
        <v>0</v>
      </c>
      <c r="AV36" s="35" t="n">
        <f aca="false">IF(Inputs!$B$88=2,0,-(AV32*Inputs!$B$142+AV35*Inputs!$B$143))</f>
        <v>0</v>
      </c>
      <c r="AW36" s="35" t="n">
        <f aca="false">IF(Inputs!$B$88=2,0,-(AW32*Inputs!$B$142+AW35*Inputs!$B$143))</f>
        <v>0</v>
      </c>
      <c r="AX36" s="35" t="n">
        <f aca="false">IF(Inputs!$B$88=2,0,-(AX32*Inputs!$B$142+AX35*Inputs!$B$143))</f>
        <v>0</v>
      </c>
      <c r="AY36" s="35" t="n">
        <f aca="false">IF(Inputs!$B$88=2,0,-(AY32*Inputs!$B$142+AY35*Inputs!$B$143))</f>
        <v>0</v>
      </c>
      <c r="AZ36" s="35" t="n">
        <f aca="false">IF(Inputs!$B$88=2,0,-(AZ32*Inputs!$B$142+AZ35*Inputs!$B$143))</f>
        <v>0</v>
      </c>
    </row>
    <row r="37" customFormat="false" ht="15" hidden="false" customHeight="false" outlineLevel="0" collapsed="false">
      <c r="A37" s="34" t="s">
        <v>145</v>
      </c>
      <c r="C37" s="35" t="n">
        <f aca="false">SUM(D37:AZ37)</f>
        <v>-175.335770590708</v>
      </c>
      <c r="D37" s="35" t="n">
        <f aca="false">-IF(D31&gt;0,Inputs!$B$144*(1+Inputs!$B$166)^(2026-2028),0)</f>
        <v>-0</v>
      </c>
      <c r="E37" s="35" t="n">
        <f aca="false">-IF(E31&gt;0,Inputs!$B$144*(1+Inputs!$B$166)^(2027-2028),0)</f>
        <v>-0</v>
      </c>
      <c r="F37" s="35" t="n">
        <f aca="false">-IF(F31&gt;0,Inputs!$B$144*(1+Inputs!$B$166)^(2028-2028),0)</f>
        <v>-2</v>
      </c>
      <c r="G37" s="35" t="n">
        <f aca="false">-IF(G31&gt;0,Inputs!$B$144*(1+Inputs!$B$166)^(2029-2028),0)</f>
        <v>-2.05</v>
      </c>
      <c r="H37" s="35" t="n">
        <f aca="false">-IF(H31&gt;0,Inputs!$B$144*(1+Inputs!$B$166)^(2030-2028),0)</f>
        <v>-2.10125</v>
      </c>
      <c r="I37" s="35" t="n">
        <f aca="false">-IF(I31&gt;0,Inputs!$B$144*(1+Inputs!$B$166)^(2031-2028),0)</f>
        <v>-2.15378125</v>
      </c>
      <c r="J37" s="35" t="n">
        <f aca="false">-IF(J31&gt;0,Inputs!$B$144*(1+Inputs!$B$166)^(2032-2028),0)</f>
        <v>-2.20762578125</v>
      </c>
      <c r="K37" s="35" t="n">
        <f aca="false">-IF(K31&gt;0,Inputs!$B$144*(1+Inputs!$B$166)^(2033-2028),0)</f>
        <v>-2.26281642578125</v>
      </c>
      <c r="L37" s="35" t="n">
        <f aca="false">-IF(L31&gt;0,Inputs!$B$144*(1+Inputs!$B$166)^(2034-2028),0)</f>
        <v>-2.31938683642578</v>
      </c>
      <c r="M37" s="35" t="n">
        <f aca="false">-IF(M31&gt;0,Inputs!$B$144*(1+Inputs!$B$166)^(2035-2028),0)</f>
        <v>-2.37737150733642</v>
      </c>
      <c r="N37" s="35" t="n">
        <f aca="false">-IF(N31&gt;0,Inputs!$B$144*(1+Inputs!$B$166)^(2036-2028),0)</f>
        <v>-2.43680579501983</v>
      </c>
      <c r="O37" s="35" t="n">
        <f aca="false">-IF(O31&gt;0,Inputs!$B$144*(1+Inputs!$B$166)^(2037-2028),0)</f>
        <v>-2.49772593989533</v>
      </c>
      <c r="P37" s="35" t="n">
        <f aca="false">-IF(P31&gt;0,Inputs!$B$144*(1+Inputs!$B$166)^(2038-2028),0)</f>
        <v>-2.56016908839271</v>
      </c>
      <c r="Q37" s="35" t="n">
        <f aca="false">-IF(Q31&gt;0,Inputs!$B$144*(1+Inputs!$B$166)^(2039-2028),0)</f>
        <v>-2.62417331560253</v>
      </c>
      <c r="R37" s="35" t="n">
        <f aca="false">-IF(R31&gt;0,Inputs!$B$144*(1+Inputs!$B$166)^(2040-2028),0)</f>
        <v>-2.68977764849259</v>
      </c>
      <c r="S37" s="35" t="n">
        <f aca="false">-IF(S31&gt;0,Inputs!$B$144*(1+Inputs!$B$166)^(2041-2028),0)</f>
        <v>-2.75702208970491</v>
      </c>
      <c r="T37" s="35" t="n">
        <f aca="false">-IF(T31&gt;0,Inputs!$B$144*(1+Inputs!$B$166)^(2042-2028),0)</f>
        <v>-2.82594764194753</v>
      </c>
      <c r="U37" s="35" t="n">
        <f aca="false">-IF(U31&gt;0,Inputs!$B$144*(1+Inputs!$B$166)^(2043-2028),0)</f>
        <v>-2.89659633299622</v>
      </c>
      <c r="V37" s="35" t="n">
        <f aca="false">-IF(V31&gt;0,Inputs!$B$144*(1+Inputs!$B$166)^(2044-2028),0)</f>
        <v>-2.96901124132112</v>
      </c>
      <c r="W37" s="35" t="n">
        <f aca="false">-IF(W31&gt;0,Inputs!$B$144*(1+Inputs!$B$166)^(2045-2028),0)</f>
        <v>-3.04323652235415</v>
      </c>
      <c r="X37" s="35" t="n">
        <f aca="false">-IF(X31&gt;0,Inputs!$B$144*(1+Inputs!$B$166)^(2046-2028),0)</f>
        <v>-3.11931743541301</v>
      </c>
      <c r="Y37" s="35" t="n">
        <f aca="false">-IF(Y31&gt;0,Inputs!$B$144*(1+Inputs!$B$166)^(2047-2028),0)</f>
        <v>-3.19730037129833</v>
      </c>
      <c r="Z37" s="35" t="n">
        <f aca="false">-IF(Z31&gt;0,Inputs!$B$144*(1+Inputs!$B$166)^(2048-2028),0)</f>
        <v>-3.27723288058079</v>
      </c>
      <c r="AA37" s="35" t="n">
        <f aca="false">-IF(AA31&gt;0,Inputs!$B$144*(1+Inputs!$B$166)^(2049-2028),0)</f>
        <v>-3.35916370259531</v>
      </c>
      <c r="AB37" s="35" t="n">
        <f aca="false">-IF(AB31&gt;0,Inputs!$B$144*(1+Inputs!$B$166)^(2050-2028),0)</f>
        <v>-3.44314279516019</v>
      </c>
      <c r="AC37" s="35" t="n">
        <f aca="false">-IF(AC31&gt;0,Inputs!$B$144*(1+Inputs!$B$166)^(2051-2028),0)</f>
        <v>-3.5292213650392</v>
      </c>
      <c r="AD37" s="35" t="n">
        <f aca="false">-IF(AD31&gt;0,Inputs!$B$144*(1+Inputs!$B$166)^(2052-2028),0)</f>
        <v>-3.61745189916517</v>
      </c>
      <c r="AE37" s="35" t="n">
        <f aca="false">-IF(AE31&gt;0,Inputs!$B$144*(1+Inputs!$B$166)^(2053-2028),0)</f>
        <v>-3.7078881966443</v>
      </c>
      <c r="AF37" s="35" t="n">
        <f aca="false">-IF(AF31&gt;0,Inputs!$B$144*(1+Inputs!$B$166)^(2054-2028),0)</f>
        <v>-3.80058540156041</v>
      </c>
      <c r="AG37" s="35" t="n">
        <f aca="false">-IF(AG31&gt;0,Inputs!$B$144*(1+Inputs!$B$166)^(2055-2028),0)</f>
        <v>-3.89560003659942</v>
      </c>
      <c r="AH37" s="35" t="n">
        <f aca="false">-IF(AH31&gt;0,Inputs!$B$144*(1+Inputs!$B$166)^(2056-2028),0)</f>
        <v>-3.99299003751441</v>
      </c>
      <c r="AI37" s="35" t="n">
        <f aca="false">-IF(AI31&gt;0,Inputs!$B$144*(1+Inputs!$B$166)^(2057-2028),0)</f>
        <v>-4.09281478845227</v>
      </c>
      <c r="AJ37" s="35" t="n">
        <f aca="false">-IF(AJ31&gt;0,Inputs!$B$144*(1+Inputs!$B$166)^(2058-2028),0)</f>
        <v>-4.19513515816357</v>
      </c>
      <c r="AK37" s="35" t="n">
        <f aca="false">-IF(AK31&gt;0,Inputs!$B$144*(1+Inputs!$B$166)^(2059-2028),0)</f>
        <v>-4.30001353711766</v>
      </c>
      <c r="AL37" s="35" t="n">
        <f aca="false">-IF(AL31&gt;0,Inputs!$B$144*(1+Inputs!$B$166)^(2060-2028),0)</f>
        <v>-4.4075138755456</v>
      </c>
      <c r="AM37" s="35" t="n">
        <f aca="false">-IF(AM31&gt;0,Inputs!$B$144*(1+Inputs!$B$166)^(2061-2028),0)</f>
        <v>-4.51770172243424</v>
      </c>
      <c r="AN37" s="35" t="n">
        <f aca="false">-IF(AN31&gt;0,Inputs!$B$144*(1+Inputs!$B$166)^(2062-2028),0)</f>
        <v>-4.6306442654951</v>
      </c>
      <c r="AO37" s="35" t="n">
        <f aca="false">-IF(AO31&gt;0,Inputs!$B$144*(1+Inputs!$B$166)^(2063-2028),0)</f>
        <v>-4.74641037213247</v>
      </c>
      <c r="AP37" s="35" t="n">
        <f aca="false">-IF(AP31&gt;0,Inputs!$B$144*(1+Inputs!$B$166)^(2064-2028),0)</f>
        <v>-4.86507063143579</v>
      </c>
      <c r="AQ37" s="35" t="n">
        <f aca="false">-IF(AQ31&gt;0,Inputs!$B$144*(1+Inputs!$B$166)^(2065-2028),0)</f>
        <v>-4.98669739722168</v>
      </c>
      <c r="AR37" s="35" t="n">
        <f aca="false">-IF(AR31&gt;0,Inputs!$B$144*(1+Inputs!$B$166)^(2066-2028),0)</f>
        <v>-5.11136483215222</v>
      </c>
      <c r="AS37" s="35" t="n">
        <f aca="false">-IF(AS31&gt;0,Inputs!$B$144*(1+Inputs!$B$166)^(2067-2028),0)</f>
        <v>-5.23914895295603</v>
      </c>
      <c r="AT37" s="35" t="n">
        <f aca="false">-IF(AT31&gt;0,Inputs!$B$144*(1+Inputs!$B$166)^(2068-2028),0)</f>
        <v>-5.37012767677993</v>
      </c>
      <c r="AU37" s="35" t="n">
        <f aca="false">-IF(AU31&gt;0,Inputs!$B$144*(1+Inputs!$B$166)^(2069-2028),0)</f>
        <v>-5.50438086869943</v>
      </c>
      <c r="AV37" s="35" t="n">
        <f aca="false">-IF(AV31&gt;0,Inputs!$B$144*(1+Inputs!$B$166)^(2070-2028),0)</f>
        <v>-5.64199039041691</v>
      </c>
      <c r="AW37" s="35" t="n">
        <f aca="false">-IF(AW31&gt;0,Inputs!$B$144*(1+Inputs!$B$166)^(2071-2028),0)</f>
        <v>-5.78304015017733</v>
      </c>
      <c r="AX37" s="35" t="n">
        <f aca="false">-IF(AX31&gt;0,Inputs!$B$144*(1+Inputs!$B$166)^(2072-2028),0)</f>
        <v>-5.92761615393177</v>
      </c>
      <c r="AY37" s="35" t="n">
        <f aca="false">-IF(AY31&gt;0,Inputs!$B$144*(1+Inputs!$B$166)^(2073-2028),0)</f>
        <v>-6.07580655778006</v>
      </c>
      <c r="AZ37" s="35" t="n">
        <f aca="false">-IF(AZ31&gt;0,Inputs!$B$144*(1+Inputs!$B$166)^(2074-2028),0)</f>
        <v>-6.22770172172456</v>
      </c>
    </row>
    <row r="38" customFormat="false" ht="15" hidden="false" customHeight="false" outlineLevel="0" collapsed="false">
      <c r="A38" s="3" t="s">
        <v>146</v>
      </c>
      <c r="C38" s="37" t="n">
        <f aca="false">SUM(D38:AZ38)</f>
        <v>4881.78120642385</v>
      </c>
      <c r="D38" s="37" t="n">
        <f aca="false">SUM(D35:D37)</f>
        <v>0</v>
      </c>
      <c r="E38" s="37" t="n">
        <f aca="false">SUM(E35:E37)</f>
        <v>0</v>
      </c>
      <c r="F38" s="37" t="n">
        <f aca="false">SUM(F35:F37)</f>
        <v>7.251</v>
      </c>
      <c r="G38" s="37" t="n">
        <f aca="false">SUM(G35:G37)</f>
        <v>34.928</v>
      </c>
      <c r="H38" s="37" t="n">
        <f aca="false">SUM(H35:H37)</f>
        <v>37.41175</v>
      </c>
      <c r="I38" s="37" t="n">
        <f aca="false">SUM(I35:I37)</f>
        <v>39.21221875</v>
      </c>
      <c r="J38" s="37" t="n">
        <f aca="false">SUM(J35:J37)</f>
        <v>42.96437421875</v>
      </c>
      <c r="K38" s="37" t="n">
        <f aca="false">SUM(K35:K37)</f>
        <v>46.9461835742188</v>
      </c>
      <c r="L38" s="37" t="n">
        <f aca="false">SUM(L35:L37)</f>
        <v>51.5386131635742</v>
      </c>
      <c r="M38" s="37" t="n">
        <f aca="false">SUM(M35:M37)</f>
        <v>56.5836284926636</v>
      </c>
      <c r="N38" s="37" t="n">
        <f aca="false">SUM(N35:N37)</f>
        <v>60.7931942049802</v>
      </c>
      <c r="O38" s="37" t="n">
        <f aca="false">SUM(O35:O37)</f>
        <v>64.9322740601047</v>
      </c>
      <c r="P38" s="37" t="n">
        <f aca="false">SUM(P35:P37)</f>
        <v>69.0288309116073</v>
      </c>
      <c r="Q38" s="37" t="n">
        <f aca="false">SUM(Q35:Q37)</f>
        <v>73.4748266843975</v>
      </c>
      <c r="R38" s="37" t="n">
        <f aca="false">SUM(R35:R37)</f>
        <v>78.2242223515074</v>
      </c>
      <c r="S38" s="37" t="n">
        <f aca="false">SUM(S35:S37)</f>
        <v>80.1798279102951</v>
      </c>
      <c r="T38" s="37" t="n">
        <f aca="false">SUM(T35:T37)</f>
        <v>82.1843236080525</v>
      </c>
      <c r="U38" s="37" t="n">
        <f aca="false">SUM(U35:U37)</f>
        <v>84.2389316982537</v>
      </c>
      <c r="V38" s="37" t="n">
        <f aca="false">SUM(V35:V37)</f>
        <v>86.3449049907101</v>
      </c>
      <c r="W38" s="37" t="n">
        <f aca="false">SUM(W35:W37)</f>
        <v>88.5035276154778</v>
      </c>
      <c r="X38" s="37" t="n">
        <f aca="false">SUM(X35:X37)</f>
        <v>90.7161158058648</v>
      </c>
      <c r="Y38" s="37" t="n">
        <f aca="false">SUM(Y35:Y37)</f>
        <v>92.9840187010114</v>
      </c>
      <c r="Z38" s="37" t="n">
        <f aca="false">SUM(Z35:Z37)</f>
        <v>95.3086191685367</v>
      </c>
      <c r="AA38" s="37" t="n">
        <f aca="false">SUM(AA35:AA37)</f>
        <v>97.6913346477501</v>
      </c>
      <c r="AB38" s="37" t="n">
        <f aca="false">SUM(AB35:AB37)</f>
        <v>100.133618013944</v>
      </c>
      <c r="AC38" s="37" t="n">
        <f aca="false">SUM(AC35:AC37)</f>
        <v>102.636958464292</v>
      </c>
      <c r="AD38" s="37" t="n">
        <f aca="false">SUM(AD35:AD37)</f>
        <v>105.2028824259</v>
      </c>
      <c r="AE38" s="37" t="n">
        <f aca="false">SUM(AE35:AE37)</f>
        <v>107.832954486547</v>
      </c>
      <c r="AF38" s="37" t="n">
        <f aca="false">SUM(AF35:AF37)</f>
        <v>110.528778348711</v>
      </c>
      <c r="AG38" s="37" t="n">
        <f aca="false">SUM(AG35:AG37)</f>
        <v>113.291997807429</v>
      </c>
      <c r="AH38" s="37" t="n">
        <f aca="false">SUM(AH35:AH37)</f>
        <v>116.124297752614</v>
      </c>
      <c r="AI38" s="37" t="n">
        <f aca="false">SUM(AI35:AI37)</f>
        <v>119.02740519643</v>
      </c>
      <c r="AJ38" s="37" t="n">
        <f aca="false">SUM(AJ35:AJ37)</f>
        <v>122.00309032634</v>
      </c>
      <c r="AK38" s="37" t="n">
        <f aca="false">SUM(AK35:AK37)</f>
        <v>125.053167584499</v>
      </c>
      <c r="AL38" s="37" t="n">
        <f aca="false">SUM(AL35:AL37)</f>
        <v>128.179496774111</v>
      </c>
      <c r="AM38" s="37" t="n">
        <f aca="false">SUM(AM35:AM37)</f>
        <v>131.383984193464</v>
      </c>
      <c r="AN38" s="37" t="n">
        <f aca="false">SUM(AN35:AN37)</f>
        <v>134.668583798301</v>
      </c>
      <c r="AO38" s="37" t="n">
        <f aca="false">SUM(AO35:AO37)</f>
        <v>138.035298393258</v>
      </c>
      <c r="AP38" s="37" t="n">
        <f aca="false">SUM(AP35:AP37)</f>
        <v>141.48618085309</v>
      </c>
      <c r="AQ38" s="37" t="n">
        <f aca="false">SUM(AQ35:AQ37)</f>
        <v>145.023335374417</v>
      </c>
      <c r="AR38" s="37" t="n">
        <f aca="false">SUM(AR35:AR37)</f>
        <v>148.648918758777</v>
      </c>
      <c r="AS38" s="37" t="n">
        <f aca="false">SUM(AS35:AS37)</f>
        <v>152.365141727747</v>
      </c>
      <c r="AT38" s="37" t="n">
        <f aca="false">SUM(AT35:AT37)</f>
        <v>156.17427027094</v>
      </c>
      <c r="AU38" s="37" t="n">
        <f aca="false">SUM(AU35:AU37)</f>
        <v>160.078627027714</v>
      </c>
      <c r="AV38" s="37" t="n">
        <f aca="false">SUM(AV35:AV37)</f>
        <v>164.080592703407</v>
      </c>
      <c r="AW38" s="37" t="n">
        <f aca="false">SUM(AW35:AW37)</f>
        <v>168.182607520992</v>
      </c>
      <c r="AX38" s="37" t="n">
        <f aca="false">SUM(AX35:AX37)</f>
        <v>172.387172709017</v>
      </c>
      <c r="AY38" s="37" t="n">
        <f aca="false">SUM(AY35:AY37)</f>
        <v>176.696852026742</v>
      </c>
      <c r="AZ38" s="37" t="n">
        <f aca="false">SUM(AZ35:AZ37)</f>
        <v>181.114273327411</v>
      </c>
    </row>
    <row r="40" customFormat="false" ht="15" hidden="false" customHeight="false" outlineLevel="0" collapsed="false">
      <c r="A40" s="32" t="s">
        <v>147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</row>
    <row r="41" customFormat="false" ht="15" hidden="false" customHeight="false" outlineLevel="0" collapsed="false">
      <c r="A41" s="34" t="s">
        <v>148</v>
      </c>
      <c r="C41" s="35" t="n">
        <f aca="false">SUM(D41:AZ41)</f>
        <v>0</v>
      </c>
      <c r="D41" s="35" t="n">
        <f aca="false">-D32*Inputs!$B$13*Inputs!$B$15</f>
        <v>-0</v>
      </c>
      <c r="E41" s="35" t="n">
        <f aca="false">-E32*Inputs!$B$13*Inputs!$B$15</f>
        <v>-0</v>
      </c>
      <c r="F41" s="35" t="n">
        <f aca="false">-F32*Inputs!$B$13*Inputs!$B$15</f>
        <v>-0</v>
      </c>
      <c r="G41" s="35" t="n">
        <f aca="false">-G32*Inputs!$B$13*Inputs!$B$15</f>
        <v>-0</v>
      </c>
      <c r="H41" s="35" t="n">
        <f aca="false">-H32*Inputs!$B$13*Inputs!$B$15</f>
        <v>-0</v>
      </c>
      <c r="I41" s="35" t="n">
        <f aca="false">-I32*Inputs!$B$13*Inputs!$B$15</f>
        <v>-0</v>
      </c>
      <c r="J41" s="35" t="n">
        <f aca="false">-J32*Inputs!$B$13*Inputs!$B$15</f>
        <v>-0</v>
      </c>
      <c r="K41" s="35" t="n">
        <f aca="false">-K32*Inputs!$B$13*Inputs!$B$15</f>
        <v>-0</v>
      </c>
      <c r="L41" s="35" t="n">
        <f aca="false">-L32*Inputs!$B$13*Inputs!$B$15</f>
        <v>-0</v>
      </c>
      <c r="M41" s="35" t="n">
        <f aca="false">-M32*Inputs!$B$13*Inputs!$B$15</f>
        <v>-0</v>
      </c>
      <c r="N41" s="35" t="n">
        <f aca="false">-N32*Inputs!$B$13*Inputs!$B$15</f>
        <v>-0</v>
      </c>
      <c r="O41" s="35" t="n">
        <f aca="false">-O32*Inputs!$B$13*Inputs!$B$15</f>
        <v>-0</v>
      </c>
      <c r="P41" s="35" t="n">
        <f aca="false">-P32*Inputs!$B$13*Inputs!$B$15</f>
        <v>-0</v>
      </c>
      <c r="Q41" s="35" t="n">
        <f aca="false">-Q32*Inputs!$B$13*Inputs!$B$15</f>
        <v>-0</v>
      </c>
      <c r="R41" s="35" t="n">
        <f aca="false">-R32*Inputs!$B$13*Inputs!$B$15</f>
        <v>-0</v>
      </c>
      <c r="S41" s="35" t="n">
        <f aca="false">-S32*Inputs!$B$13*Inputs!$B$15</f>
        <v>-0</v>
      </c>
      <c r="T41" s="35" t="n">
        <f aca="false">-T32*Inputs!$B$13*Inputs!$B$15</f>
        <v>-0</v>
      </c>
      <c r="U41" s="35" t="n">
        <f aca="false">-U32*Inputs!$B$13*Inputs!$B$15</f>
        <v>-0</v>
      </c>
      <c r="V41" s="35" t="n">
        <f aca="false">-V32*Inputs!$B$13*Inputs!$B$15</f>
        <v>-0</v>
      </c>
      <c r="W41" s="35" t="n">
        <f aca="false">-W32*Inputs!$B$13*Inputs!$B$15</f>
        <v>-0</v>
      </c>
      <c r="X41" s="35" t="n">
        <f aca="false">-X32*Inputs!$B$13*Inputs!$B$15</f>
        <v>-0</v>
      </c>
      <c r="Y41" s="35" t="n">
        <f aca="false">-Y32*Inputs!$B$13*Inputs!$B$15</f>
        <v>-0</v>
      </c>
      <c r="Z41" s="35" t="n">
        <f aca="false">-Z32*Inputs!$B$13*Inputs!$B$15</f>
        <v>-0</v>
      </c>
      <c r="AA41" s="35" t="n">
        <f aca="false">-AA32*Inputs!$B$13*Inputs!$B$15</f>
        <v>-0</v>
      </c>
      <c r="AB41" s="35" t="n">
        <f aca="false">-AB32*Inputs!$B$13*Inputs!$B$15</f>
        <v>-0</v>
      </c>
      <c r="AC41" s="35" t="n">
        <f aca="false">-AC32*Inputs!$B$13*Inputs!$B$15</f>
        <v>-0</v>
      </c>
      <c r="AD41" s="35" t="n">
        <f aca="false">-AD32*Inputs!$B$13*Inputs!$B$15</f>
        <v>-0</v>
      </c>
      <c r="AE41" s="35" t="n">
        <f aca="false">-AE32*Inputs!$B$13*Inputs!$B$15</f>
        <v>-0</v>
      </c>
      <c r="AF41" s="35" t="n">
        <f aca="false">-AF32*Inputs!$B$13*Inputs!$B$15</f>
        <v>-0</v>
      </c>
      <c r="AG41" s="35" t="n">
        <f aca="false">-AG32*Inputs!$B$13*Inputs!$B$15</f>
        <v>-0</v>
      </c>
      <c r="AH41" s="35" t="n">
        <f aca="false">-AH32*Inputs!$B$13*Inputs!$B$15</f>
        <v>-0</v>
      </c>
      <c r="AI41" s="35" t="n">
        <f aca="false">-AI32*Inputs!$B$13*Inputs!$B$15</f>
        <v>-0</v>
      </c>
      <c r="AJ41" s="35" t="n">
        <f aca="false">-AJ32*Inputs!$B$13*Inputs!$B$15</f>
        <v>-0</v>
      </c>
      <c r="AK41" s="35" t="n">
        <f aca="false">-AK32*Inputs!$B$13*Inputs!$B$15</f>
        <v>-0</v>
      </c>
      <c r="AL41" s="35" t="n">
        <f aca="false">-AL32*Inputs!$B$13*Inputs!$B$15</f>
        <v>-0</v>
      </c>
      <c r="AM41" s="35" t="n">
        <f aca="false">-AM32*Inputs!$B$13*Inputs!$B$15</f>
        <v>-0</v>
      </c>
      <c r="AN41" s="35" t="n">
        <f aca="false">-AN32*Inputs!$B$13*Inputs!$B$15</f>
        <v>-0</v>
      </c>
      <c r="AO41" s="35" t="n">
        <f aca="false">-AO32*Inputs!$B$13*Inputs!$B$15</f>
        <v>-0</v>
      </c>
      <c r="AP41" s="35" t="n">
        <f aca="false">-AP32*Inputs!$B$13*Inputs!$B$15</f>
        <v>-0</v>
      </c>
      <c r="AQ41" s="35" t="n">
        <f aca="false">-AQ32*Inputs!$B$13*Inputs!$B$15</f>
        <v>-0</v>
      </c>
      <c r="AR41" s="35" t="n">
        <f aca="false">-AR32*Inputs!$B$13*Inputs!$B$15</f>
        <v>-0</v>
      </c>
      <c r="AS41" s="35" t="n">
        <f aca="false">-AS32*Inputs!$B$13*Inputs!$B$15</f>
        <v>-0</v>
      </c>
      <c r="AT41" s="35" t="n">
        <f aca="false">-AT32*Inputs!$B$13*Inputs!$B$15</f>
        <v>-0</v>
      </c>
      <c r="AU41" s="35" t="n">
        <f aca="false">-AU32*Inputs!$B$13*Inputs!$B$15</f>
        <v>-0</v>
      </c>
      <c r="AV41" s="35" t="n">
        <f aca="false">-AV32*Inputs!$B$13*Inputs!$B$15</f>
        <v>-0</v>
      </c>
      <c r="AW41" s="35" t="n">
        <f aca="false">-AW32*Inputs!$B$13*Inputs!$B$15</f>
        <v>-0</v>
      </c>
      <c r="AX41" s="35" t="n">
        <f aca="false">-AX32*Inputs!$B$13*Inputs!$B$15</f>
        <v>-0</v>
      </c>
      <c r="AY41" s="35" t="n">
        <f aca="false">-AY32*Inputs!$B$13*Inputs!$B$15</f>
        <v>-0</v>
      </c>
      <c r="AZ41" s="35" t="n">
        <f aca="false">-AZ32*Inputs!$B$13*Inputs!$B$15</f>
        <v>-0</v>
      </c>
    </row>
    <row r="42" customFormat="false" ht="15" hidden="false" customHeight="false" outlineLevel="0" collapsed="false">
      <c r="A42" s="34" t="s">
        <v>149</v>
      </c>
      <c r="C42" s="35" t="n">
        <f aca="false">SUM(D42:AZ42)</f>
        <v>-237.381274816349</v>
      </c>
      <c r="D42" s="35" t="n">
        <f aca="false">-D32*Inputs!$B$169</f>
        <v>-0</v>
      </c>
      <c r="E42" s="35" t="n">
        <f aca="false">-E32*Inputs!$B$169</f>
        <v>-0</v>
      </c>
      <c r="F42" s="35" t="n">
        <f aca="false">-F32*Inputs!$B$169</f>
        <v>-0.52164</v>
      </c>
      <c r="G42" s="35" t="n">
        <f aca="false">-G32*Inputs!$B$169</f>
        <v>-2.21038</v>
      </c>
      <c r="H42" s="35" t="n">
        <f aca="false">-H32*Inputs!$B$169</f>
        <v>-2.30432</v>
      </c>
      <c r="I42" s="35" t="n">
        <f aca="false">-I32*Inputs!$B$169</f>
        <v>-2.3815</v>
      </c>
      <c r="J42" s="35" t="n">
        <f aca="false">-J32*Inputs!$B$169</f>
        <v>-2.5165</v>
      </c>
      <c r="K42" s="35" t="n">
        <f aca="false">-K32*Inputs!$B$169</f>
        <v>-2.65588</v>
      </c>
      <c r="L42" s="35" t="n">
        <f aca="false">-L32*Inputs!$B$169</f>
        <v>-2.81412</v>
      </c>
      <c r="M42" s="35" t="n">
        <f aca="false">-M32*Inputs!$B$169</f>
        <v>-2.98528</v>
      </c>
      <c r="N42" s="35" t="n">
        <f aca="false">-N32*Inputs!$B$169</f>
        <v>-3.1308</v>
      </c>
      <c r="O42" s="35" t="n">
        <f aca="false">-O32*Inputs!$B$169</f>
        <v>-3.2765</v>
      </c>
      <c r="P42" s="35" t="n">
        <f aca="false">-P32*Inputs!$B$169</f>
        <v>-3.42146</v>
      </c>
      <c r="Q42" s="35" t="n">
        <f aca="false">-Q32*Inputs!$B$169</f>
        <v>-3.5776</v>
      </c>
      <c r="R42" s="35" t="n">
        <f aca="false">-R32*Inputs!$B$169</f>
        <v>-3.7428</v>
      </c>
      <c r="S42" s="35" t="n">
        <f aca="false">-S32*Inputs!$B$169</f>
        <v>-3.83637</v>
      </c>
      <c r="T42" s="35" t="n">
        <f aca="false">-T32*Inputs!$B$169</f>
        <v>-3.93227925</v>
      </c>
      <c r="U42" s="35" t="n">
        <f aca="false">-U32*Inputs!$B$169</f>
        <v>-4.03058623125</v>
      </c>
      <c r="V42" s="35" t="n">
        <f aca="false">-V32*Inputs!$B$169</f>
        <v>-4.13135088703125</v>
      </c>
      <c r="W42" s="35" t="n">
        <f aca="false">-W32*Inputs!$B$169</f>
        <v>-4.23463465920703</v>
      </c>
      <c r="X42" s="35" t="n">
        <f aca="false">-X32*Inputs!$B$169</f>
        <v>-4.3405005256872</v>
      </c>
      <c r="Y42" s="35" t="n">
        <f aca="false">-Y32*Inputs!$B$169</f>
        <v>-4.44901303882939</v>
      </c>
      <c r="Z42" s="35" t="n">
        <f aca="false">-Z32*Inputs!$B$169</f>
        <v>-4.56023836480012</v>
      </c>
      <c r="AA42" s="35" t="n">
        <f aca="false">-AA32*Inputs!$B$169</f>
        <v>-4.67424432392012</v>
      </c>
      <c r="AB42" s="35" t="n">
        <f aca="false">-AB32*Inputs!$B$169</f>
        <v>-4.79110043201812</v>
      </c>
      <c r="AC42" s="35" t="n">
        <f aca="false">-AC32*Inputs!$B$169</f>
        <v>-4.91087794281858</v>
      </c>
      <c r="AD42" s="35" t="n">
        <f aca="false">-AD32*Inputs!$B$169</f>
        <v>-5.03364989138904</v>
      </c>
      <c r="AE42" s="35" t="n">
        <f aca="false">-AE32*Inputs!$B$169</f>
        <v>-5.15949113867377</v>
      </c>
      <c r="AF42" s="35" t="n">
        <f aca="false">-AF32*Inputs!$B$169</f>
        <v>-5.28847841714061</v>
      </c>
      <c r="AG42" s="35" t="n">
        <f aca="false">-AG32*Inputs!$B$169</f>
        <v>-5.42069037756912</v>
      </c>
      <c r="AH42" s="35" t="n">
        <f aca="false">-AH32*Inputs!$B$169</f>
        <v>-5.55620763700835</v>
      </c>
      <c r="AI42" s="35" t="n">
        <f aca="false">-AI32*Inputs!$B$169</f>
        <v>-5.69511282793356</v>
      </c>
      <c r="AJ42" s="35" t="n">
        <f aca="false">-AJ32*Inputs!$B$169</f>
        <v>-5.8374906486319</v>
      </c>
      <c r="AK42" s="35" t="n">
        <f aca="false">-AK32*Inputs!$B$169</f>
        <v>-5.9834279148477</v>
      </c>
      <c r="AL42" s="35" t="n">
        <f aca="false">-AL32*Inputs!$B$169</f>
        <v>-6.13301361271889</v>
      </c>
      <c r="AM42" s="35" t="n">
        <f aca="false">-AM32*Inputs!$B$169</f>
        <v>-6.28633895303686</v>
      </c>
      <c r="AN42" s="35" t="n">
        <f aca="false">-AN32*Inputs!$B$169</f>
        <v>-6.44349742686278</v>
      </c>
      <c r="AO42" s="35" t="n">
        <f aca="false">-AO32*Inputs!$B$169</f>
        <v>-6.60458486253435</v>
      </c>
      <c r="AP42" s="35" t="n">
        <f aca="false">-AP32*Inputs!$B$169</f>
        <v>-6.76969948409771</v>
      </c>
      <c r="AQ42" s="35" t="n">
        <f aca="false">-AQ32*Inputs!$B$169</f>
        <v>-6.93894197120015</v>
      </c>
      <c r="AR42" s="35" t="n">
        <f aca="false">-AR32*Inputs!$B$169</f>
        <v>-7.11241552048015</v>
      </c>
      <c r="AS42" s="35" t="n">
        <f aca="false">-AS32*Inputs!$B$169</f>
        <v>-7.29022590849216</v>
      </c>
      <c r="AT42" s="35" t="n">
        <f aca="false">-AT32*Inputs!$B$169</f>
        <v>-7.47248155620446</v>
      </c>
      <c r="AU42" s="35" t="n">
        <f aca="false">-AU32*Inputs!$B$169</f>
        <v>-7.65929359510957</v>
      </c>
      <c r="AV42" s="35" t="n">
        <f aca="false">-AV32*Inputs!$B$169</f>
        <v>-7.85077593498731</v>
      </c>
      <c r="AW42" s="35" t="n">
        <f aca="false">-AW32*Inputs!$B$169</f>
        <v>-8.04704533336199</v>
      </c>
      <c r="AX42" s="35" t="n">
        <f aca="false">-AX32*Inputs!$B$169</f>
        <v>-8.24822146669604</v>
      </c>
      <c r="AY42" s="35" t="n">
        <f aca="false">-AY32*Inputs!$B$169</f>
        <v>-8.45442700336344</v>
      </c>
      <c r="AZ42" s="35" t="n">
        <f aca="false">-AZ32*Inputs!$B$169</f>
        <v>-8.66578767844752</v>
      </c>
    </row>
    <row r="43" customFormat="false" ht="15" hidden="false" customHeight="false" outlineLevel="0" collapsed="false">
      <c r="A43" s="34" t="s">
        <v>150</v>
      </c>
      <c r="C43" s="35" t="n">
        <f aca="false">SUM(D43:AZ43)</f>
        <v>-76.1884974211837</v>
      </c>
      <c r="D43" s="35" t="n">
        <f aca="false">-Inputs!$B$167*MAX(0,MIN(1,2026+1-Inputs!$B$168))*(Inputs!$B$21/MAX(0.0001,Inputs!$B$20+Inputs!$B$21+Inputs!$B$22))</f>
        <v>-0</v>
      </c>
      <c r="E43" s="35" t="n">
        <f aca="false">-Inputs!$B$167*MAX(0,MIN(1,2027+1-Inputs!$B$168))*(Inputs!$B$21/MAX(0.0001,Inputs!$B$20+Inputs!$B$21+Inputs!$B$22))</f>
        <v>-0</v>
      </c>
      <c r="F43" s="35" t="n">
        <f aca="false">-Inputs!$B$167*MAX(0,MIN(1,2028+1-Inputs!$B$168))*(Inputs!$B$21/MAX(0.0001,Inputs!$B$20+Inputs!$B$21+Inputs!$B$22))</f>
        <v>-1.22227535969813</v>
      </c>
      <c r="G43" s="35" t="n">
        <f aca="false">-Inputs!$B$167*MAX(0,MIN(1,2029+1-Inputs!$B$168))*(Inputs!$B$21/MAX(0.0001,Inputs!$B$20+Inputs!$B$21+Inputs!$B$22))</f>
        <v>-1.62970047959751</v>
      </c>
      <c r="H43" s="35" t="n">
        <f aca="false">-Inputs!$B$167*MAX(0,MIN(1,2030+1-Inputs!$B$168))*(Inputs!$B$21/MAX(0.0001,Inputs!$B$20+Inputs!$B$21+Inputs!$B$22))</f>
        <v>-1.62970047959751</v>
      </c>
      <c r="I43" s="35" t="n">
        <f aca="false">-Inputs!$B$167*MAX(0,MIN(1,2031+1-Inputs!$B$168))*(Inputs!$B$21/MAX(0.0001,Inputs!$B$20+Inputs!$B$21+Inputs!$B$22))</f>
        <v>-1.62970047959751</v>
      </c>
      <c r="J43" s="35" t="n">
        <f aca="false">-Inputs!$B$167*MAX(0,MIN(1,2032+1-Inputs!$B$168))*(Inputs!$B$21/MAX(0.0001,Inputs!$B$20+Inputs!$B$21+Inputs!$B$22))</f>
        <v>-1.62970047959751</v>
      </c>
      <c r="K43" s="35" t="n">
        <f aca="false">-Inputs!$B$167*MAX(0,MIN(1,2033+1-Inputs!$B$168))*(Inputs!$B$21/MAX(0.0001,Inputs!$B$20+Inputs!$B$21+Inputs!$B$22))</f>
        <v>-1.62970047959751</v>
      </c>
      <c r="L43" s="35" t="n">
        <f aca="false">-Inputs!$B$167*MAX(0,MIN(1,2034+1-Inputs!$B$168))*(Inputs!$B$21/MAX(0.0001,Inputs!$B$20+Inputs!$B$21+Inputs!$B$22))</f>
        <v>-1.62970047959751</v>
      </c>
      <c r="M43" s="35" t="n">
        <f aca="false">-Inputs!$B$167*MAX(0,MIN(1,2035+1-Inputs!$B$168))*(Inputs!$B$21/MAX(0.0001,Inputs!$B$20+Inputs!$B$21+Inputs!$B$22))</f>
        <v>-1.62970047959751</v>
      </c>
      <c r="N43" s="35" t="n">
        <f aca="false">-Inputs!$B$167*MAX(0,MIN(1,2036+1-Inputs!$B$168))*(Inputs!$B$21/MAX(0.0001,Inputs!$B$20+Inputs!$B$21+Inputs!$B$22))</f>
        <v>-1.62970047959751</v>
      </c>
      <c r="O43" s="35" t="n">
        <f aca="false">-Inputs!$B$167*MAX(0,MIN(1,2037+1-Inputs!$B$168))*(Inputs!$B$21/MAX(0.0001,Inputs!$B$20+Inputs!$B$21+Inputs!$B$22))</f>
        <v>-1.62970047959751</v>
      </c>
      <c r="P43" s="35" t="n">
        <f aca="false">-Inputs!$B$167*MAX(0,MIN(1,2038+1-Inputs!$B$168))*(Inputs!$B$21/MAX(0.0001,Inputs!$B$20+Inputs!$B$21+Inputs!$B$22))</f>
        <v>-1.62970047959751</v>
      </c>
      <c r="Q43" s="35" t="n">
        <f aca="false">-Inputs!$B$167*MAX(0,MIN(1,2039+1-Inputs!$B$168))*(Inputs!$B$21/MAX(0.0001,Inputs!$B$20+Inputs!$B$21+Inputs!$B$22))</f>
        <v>-1.62970047959751</v>
      </c>
      <c r="R43" s="35" t="n">
        <f aca="false">-Inputs!$B$167*MAX(0,MIN(1,2040+1-Inputs!$B$168))*(Inputs!$B$21/MAX(0.0001,Inputs!$B$20+Inputs!$B$21+Inputs!$B$22))</f>
        <v>-1.62970047959751</v>
      </c>
      <c r="S43" s="35" t="n">
        <f aca="false">-Inputs!$B$167*MAX(0,MIN(1,2041+1-Inputs!$B$168))*(Inputs!$B$21/MAX(0.0001,Inputs!$B$20+Inputs!$B$21+Inputs!$B$22))</f>
        <v>-1.62970047959751</v>
      </c>
      <c r="T43" s="35" t="n">
        <f aca="false">-Inputs!$B$167*MAX(0,MIN(1,2042+1-Inputs!$B$168))*(Inputs!$B$21/MAX(0.0001,Inputs!$B$20+Inputs!$B$21+Inputs!$B$22))</f>
        <v>-1.62970047959751</v>
      </c>
      <c r="U43" s="35" t="n">
        <f aca="false">-Inputs!$B$167*MAX(0,MIN(1,2043+1-Inputs!$B$168))*(Inputs!$B$21/MAX(0.0001,Inputs!$B$20+Inputs!$B$21+Inputs!$B$22))</f>
        <v>-1.62970047959751</v>
      </c>
      <c r="V43" s="35" t="n">
        <f aca="false">-Inputs!$B$167*MAX(0,MIN(1,2044+1-Inputs!$B$168))*(Inputs!$B$21/MAX(0.0001,Inputs!$B$20+Inputs!$B$21+Inputs!$B$22))</f>
        <v>-1.62970047959751</v>
      </c>
      <c r="W43" s="35" t="n">
        <f aca="false">-Inputs!$B$167*MAX(0,MIN(1,2045+1-Inputs!$B$168))*(Inputs!$B$21/MAX(0.0001,Inputs!$B$20+Inputs!$B$21+Inputs!$B$22))</f>
        <v>-1.62970047959751</v>
      </c>
      <c r="X43" s="35" t="n">
        <f aca="false">-Inputs!$B$167*MAX(0,MIN(1,2046+1-Inputs!$B$168))*(Inputs!$B$21/MAX(0.0001,Inputs!$B$20+Inputs!$B$21+Inputs!$B$22))</f>
        <v>-1.62970047959751</v>
      </c>
      <c r="Y43" s="35" t="n">
        <f aca="false">-Inputs!$B$167*MAX(0,MIN(1,2047+1-Inputs!$B$168))*(Inputs!$B$21/MAX(0.0001,Inputs!$B$20+Inputs!$B$21+Inputs!$B$22))</f>
        <v>-1.62970047959751</v>
      </c>
      <c r="Z43" s="35" t="n">
        <f aca="false">-Inputs!$B$167*MAX(0,MIN(1,2048+1-Inputs!$B$168))*(Inputs!$B$21/MAX(0.0001,Inputs!$B$20+Inputs!$B$21+Inputs!$B$22))</f>
        <v>-1.62970047959751</v>
      </c>
      <c r="AA43" s="35" t="n">
        <f aca="false">-Inputs!$B$167*MAX(0,MIN(1,2049+1-Inputs!$B$168))*(Inputs!$B$21/MAX(0.0001,Inputs!$B$20+Inputs!$B$21+Inputs!$B$22))</f>
        <v>-1.62970047959751</v>
      </c>
      <c r="AB43" s="35" t="n">
        <f aca="false">-Inputs!$B$167*MAX(0,MIN(1,2050+1-Inputs!$B$168))*(Inputs!$B$21/MAX(0.0001,Inputs!$B$20+Inputs!$B$21+Inputs!$B$22))</f>
        <v>-1.62970047959751</v>
      </c>
      <c r="AC43" s="35" t="n">
        <f aca="false">-Inputs!$B$167*MAX(0,MIN(1,2051+1-Inputs!$B$168))*(Inputs!$B$21/MAX(0.0001,Inputs!$B$20+Inputs!$B$21+Inputs!$B$22))</f>
        <v>-1.62970047959751</v>
      </c>
      <c r="AD43" s="35" t="n">
        <f aca="false">-Inputs!$B$167*MAX(0,MIN(1,2052+1-Inputs!$B$168))*(Inputs!$B$21/MAX(0.0001,Inputs!$B$20+Inputs!$B$21+Inputs!$B$22))</f>
        <v>-1.62970047959751</v>
      </c>
      <c r="AE43" s="35" t="n">
        <f aca="false">-Inputs!$B$167*MAX(0,MIN(1,2053+1-Inputs!$B$168))*(Inputs!$B$21/MAX(0.0001,Inputs!$B$20+Inputs!$B$21+Inputs!$B$22))</f>
        <v>-1.62970047959751</v>
      </c>
      <c r="AF43" s="35" t="n">
        <f aca="false">-Inputs!$B$167*MAX(0,MIN(1,2054+1-Inputs!$B$168))*(Inputs!$B$21/MAX(0.0001,Inputs!$B$20+Inputs!$B$21+Inputs!$B$22))</f>
        <v>-1.62970047959751</v>
      </c>
      <c r="AG43" s="35" t="n">
        <f aca="false">-Inputs!$B$167*MAX(0,MIN(1,2055+1-Inputs!$B$168))*(Inputs!$B$21/MAX(0.0001,Inputs!$B$20+Inputs!$B$21+Inputs!$B$22))</f>
        <v>-1.62970047959751</v>
      </c>
      <c r="AH43" s="35" t="n">
        <f aca="false">-Inputs!$B$167*MAX(0,MIN(1,2056+1-Inputs!$B$168))*(Inputs!$B$21/MAX(0.0001,Inputs!$B$20+Inputs!$B$21+Inputs!$B$22))</f>
        <v>-1.62970047959751</v>
      </c>
      <c r="AI43" s="35" t="n">
        <f aca="false">-Inputs!$B$167*MAX(0,MIN(1,2057+1-Inputs!$B$168))*(Inputs!$B$21/MAX(0.0001,Inputs!$B$20+Inputs!$B$21+Inputs!$B$22))</f>
        <v>-1.62970047959751</v>
      </c>
      <c r="AJ43" s="35" t="n">
        <f aca="false">-Inputs!$B$167*MAX(0,MIN(1,2058+1-Inputs!$B$168))*(Inputs!$B$21/MAX(0.0001,Inputs!$B$20+Inputs!$B$21+Inputs!$B$22))</f>
        <v>-1.62970047959751</v>
      </c>
      <c r="AK43" s="35" t="n">
        <f aca="false">-Inputs!$B$167*MAX(0,MIN(1,2059+1-Inputs!$B$168))*(Inputs!$B$21/MAX(0.0001,Inputs!$B$20+Inputs!$B$21+Inputs!$B$22))</f>
        <v>-1.62970047959751</v>
      </c>
      <c r="AL43" s="35" t="n">
        <f aca="false">-Inputs!$B$167*MAX(0,MIN(1,2060+1-Inputs!$B$168))*(Inputs!$B$21/MAX(0.0001,Inputs!$B$20+Inputs!$B$21+Inputs!$B$22))</f>
        <v>-1.62970047959751</v>
      </c>
      <c r="AM43" s="35" t="n">
        <f aca="false">-Inputs!$B$167*MAX(0,MIN(1,2061+1-Inputs!$B$168))*(Inputs!$B$21/MAX(0.0001,Inputs!$B$20+Inputs!$B$21+Inputs!$B$22))</f>
        <v>-1.62970047959751</v>
      </c>
      <c r="AN43" s="35" t="n">
        <f aca="false">-Inputs!$B$167*MAX(0,MIN(1,2062+1-Inputs!$B$168))*(Inputs!$B$21/MAX(0.0001,Inputs!$B$20+Inputs!$B$21+Inputs!$B$22))</f>
        <v>-1.62970047959751</v>
      </c>
      <c r="AO43" s="35" t="n">
        <f aca="false">-Inputs!$B$167*MAX(0,MIN(1,2063+1-Inputs!$B$168))*(Inputs!$B$21/MAX(0.0001,Inputs!$B$20+Inputs!$B$21+Inputs!$B$22))</f>
        <v>-1.62970047959751</v>
      </c>
      <c r="AP43" s="35" t="n">
        <f aca="false">-Inputs!$B$167*MAX(0,MIN(1,2064+1-Inputs!$B$168))*(Inputs!$B$21/MAX(0.0001,Inputs!$B$20+Inputs!$B$21+Inputs!$B$22))</f>
        <v>-1.62970047959751</v>
      </c>
      <c r="AQ43" s="35" t="n">
        <f aca="false">-Inputs!$B$167*MAX(0,MIN(1,2065+1-Inputs!$B$168))*(Inputs!$B$21/MAX(0.0001,Inputs!$B$20+Inputs!$B$21+Inputs!$B$22))</f>
        <v>-1.62970047959751</v>
      </c>
      <c r="AR43" s="35" t="n">
        <f aca="false">-Inputs!$B$167*MAX(0,MIN(1,2066+1-Inputs!$B$168))*(Inputs!$B$21/MAX(0.0001,Inputs!$B$20+Inputs!$B$21+Inputs!$B$22))</f>
        <v>-1.62970047959751</v>
      </c>
      <c r="AS43" s="35" t="n">
        <f aca="false">-Inputs!$B$167*MAX(0,MIN(1,2067+1-Inputs!$B$168))*(Inputs!$B$21/MAX(0.0001,Inputs!$B$20+Inputs!$B$21+Inputs!$B$22))</f>
        <v>-1.62970047959751</v>
      </c>
      <c r="AT43" s="35" t="n">
        <f aca="false">-Inputs!$B$167*MAX(0,MIN(1,2068+1-Inputs!$B$168))*(Inputs!$B$21/MAX(0.0001,Inputs!$B$20+Inputs!$B$21+Inputs!$B$22))</f>
        <v>-1.62970047959751</v>
      </c>
      <c r="AU43" s="35" t="n">
        <f aca="false">-Inputs!$B$167*MAX(0,MIN(1,2069+1-Inputs!$B$168))*(Inputs!$B$21/MAX(0.0001,Inputs!$B$20+Inputs!$B$21+Inputs!$B$22))</f>
        <v>-1.62970047959751</v>
      </c>
      <c r="AV43" s="35" t="n">
        <f aca="false">-Inputs!$B$167*MAX(0,MIN(1,2070+1-Inputs!$B$168))*(Inputs!$B$21/MAX(0.0001,Inputs!$B$20+Inputs!$B$21+Inputs!$B$22))</f>
        <v>-1.62970047959751</v>
      </c>
      <c r="AW43" s="35" t="n">
        <f aca="false">-Inputs!$B$167*MAX(0,MIN(1,2071+1-Inputs!$B$168))*(Inputs!$B$21/MAX(0.0001,Inputs!$B$20+Inputs!$B$21+Inputs!$B$22))</f>
        <v>-1.62970047959751</v>
      </c>
      <c r="AX43" s="35" t="n">
        <f aca="false">-Inputs!$B$167*MAX(0,MIN(1,2072+1-Inputs!$B$168))*(Inputs!$B$21/MAX(0.0001,Inputs!$B$20+Inputs!$B$21+Inputs!$B$22))</f>
        <v>-1.62970047959751</v>
      </c>
      <c r="AY43" s="35" t="n">
        <f aca="false">-Inputs!$B$167*MAX(0,MIN(1,2073+1-Inputs!$B$168))*(Inputs!$B$21/MAX(0.0001,Inputs!$B$20+Inputs!$B$21+Inputs!$B$22))</f>
        <v>-1.62970047959751</v>
      </c>
      <c r="AZ43" s="35" t="n">
        <f aca="false">-Inputs!$B$167*MAX(0,MIN(1,2074+1-Inputs!$B$168))*(Inputs!$B$21/MAX(0.0001,Inputs!$B$20+Inputs!$B$21+Inputs!$B$22))</f>
        <v>-1.62970047959751</v>
      </c>
    </row>
    <row r="44" customFormat="false" ht="15" hidden="false" customHeight="false" outlineLevel="0" collapsed="false">
      <c r="A44" s="34" t="s">
        <v>151</v>
      </c>
      <c r="C44" s="35" t="n">
        <f aca="false">SUM(D44:AZ44)</f>
        <v>-683.660054947015</v>
      </c>
      <c r="D44" s="35" t="n">
        <f aca="false">-(Inputs!$B$163+Inputs!$B$164)*IF(2026&lt;2028+Inputs!$B$9,0,IF(2026=2028+Inputs!$B$9,Inputs!$B$165,1))*(1+Inputs!$B$166)^(2026-2028-Inputs!$B$9)*(Inputs!$B$21/MAX(0.0001,Inputs!$B$20+Inputs!$B$21+Inputs!$B$22))</f>
        <v>-0</v>
      </c>
      <c r="E44" s="35" t="n">
        <f aca="false">-(Inputs!$B$163+Inputs!$B$164)*IF(2027&lt;2028+Inputs!$B$9,0,IF(2027=2028+Inputs!$B$9,Inputs!$B$165,1))*(1+Inputs!$B$166)^(2027-2028-Inputs!$B$9)*(Inputs!$B$21/MAX(0.0001,Inputs!$B$20+Inputs!$B$21+Inputs!$B$22))</f>
        <v>-0</v>
      </c>
      <c r="F44" s="35" t="n">
        <f aca="false">-(Inputs!$B$163+Inputs!$B$164)*IF(2028&lt;2028+Inputs!$B$9,0,IF(2028=2028+Inputs!$B$9,Inputs!$B$165,1))*(1+Inputs!$B$166)^(2028-2028-Inputs!$B$9)*(Inputs!$B$21/MAX(0.0001,Inputs!$B$20+Inputs!$B$21+Inputs!$B$22))</f>
        <v>-3.92151336831534</v>
      </c>
      <c r="G44" s="35" t="n">
        <f aca="false">-(Inputs!$B$163+Inputs!$B$164)*IF(2029&lt;2028+Inputs!$B$9,0,IF(2029=2028+Inputs!$B$9,Inputs!$B$165,1))*(1+Inputs!$B$166)^(2029-2028-Inputs!$B$9)*(Inputs!$B$21/MAX(0.0001,Inputs!$B$20+Inputs!$B$21+Inputs!$B$22))</f>
        <v>-8.03910240504644</v>
      </c>
      <c r="H44" s="35" t="n">
        <f aca="false">-(Inputs!$B$163+Inputs!$B$164)*IF(2030&lt;2028+Inputs!$B$9,0,IF(2030=2028+Inputs!$B$9,Inputs!$B$165,1))*(1+Inputs!$B$166)^(2030-2028-Inputs!$B$9)*(Inputs!$B$21/MAX(0.0001,Inputs!$B$20+Inputs!$B$21+Inputs!$B$22))</f>
        <v>-8.2400799651726</v>
      </c>
      <c r="I44" s="35" t="n">
        <f aca="false">-(Inputs!$B$163+Inputs!$B$164)*IF(2031&lt;2028+Inputs!$B$9,0,IF(2031=2028+Inputs!$B$9,Inputs!$B$165,1))*(1+Inputs!$B$166)^(2031-2028-Inputs!$B$9)*(Inputs!$B$21/MAX(0.0001,Inputs!$B$20+Inputs!$B$21+Inputs!$B$22))</f>
        <v>-8.44608196430191</v>
      </c>
      <c r="J44" s="35" t="n">
        <f aca="false">-(Inputs!$B$163+Inputs!$B$164)*IF(2032&lt;2028+Inputs!$B$9,0,IF(2032=2028+Inputs!$B$9,Inputs!$B$165,1))*(1+Inputs!$B$166)^(2032-2028-Inputs!$B$9)*(Inputs!$B$21/MAX(0.0001,Inputs!$B$20+Inputs!$B$21+Inputs!$B$22))</f>
        <v>-8.65723401340946</v>
      </c>
      <c r="K44" s="35" t="n">
        <f aca="false">-(Inputs!$B$163+Inputs!$B$164)*IF(2033&lt;2028+Inputs!$B$9,0,IF(2033=2028+Inputs!$B$9,Inputs!$B$165,1))*(1+Inputs!$B$166)^(2033-2028-Inputs!$B$9)*(Inputs!$B$21/MAX(0.0001,Inputs!$B$20+Inputs!$B$21+Inputs!$B$22))</f>
        <v>-8.8736648637447</v>
      </c>
      <c r="L44" s="35" t="n">
        <f aca="false">-(Inputs!$B$163+Inputs!$B$164)*IF(2034&lt;2028+Inputs!$B$9,0,IF(2034=2028+Inputs!$B$9,Inputs!$B$165,1))*(1+Inputs!$B$166)^(2034-2028-Inputs!$B$9)*(Inputs!$B$21/MAX(0.0001,Inputs!$B$20+Inputs!$B$21+Inputs!$B$22))</f>
        <v>-9.09550648533831</v>
      </c>
      <c r="M44" s="35" t="n">
        <f aca="false">-(Inputs!$B$163+Inputs!$B$164)*IF(2035&lt;2028+Inputs!$B$9,0,IF(2035=2028+Inputs!$B$9,Inputs!$B$165,1))*(1+Inputs!$B$166)^(2035-2028-Inputs!$B$9)*(Inputs!$B$21/MAX(0.0001,Inputs!$B$20+Inputs!$B$21+Inputs!$B$22))</f>
        <v>-9.32289414747177</v>
      </c>
      <c r="N44" s="35" t="n">
        <f aca="false">-(Inputs!$B$163+Inputs!$B$164)*IF(2036&lt;2028+Inputs!$B$9,0,IF(2036=2028+Inputs!$B$9,Inputs!$B$165,1))*(1+Inputs!$B$166)^(2036-2028-Inputs!$B$9)*(Inputs!$B$21/MAX(0.0001,Inputs!$B$20+Inputs!$B$21+Inputs!$B$22))</f>
        <v>-9.55596650115856</v>
      </c>
      <c r="O44" s="35" t="n">
        <f aca="false">-(Inputs!$B$163+Inputs!$B$164)*IF(2037&lt;2028+Inputs!$B$9,0,IF(2037=2028+Inputs!$B$9,Inputs!$B$165,1))*(1+Inputs!$B$166)^(2037-2028-Inputs!$B$9)*(Inputs!$B$21/MAX(0.0001,Inputs!$B$20+Inputs!$B$21+Inputs!$B$22))</f>
        <v>-9.79486566368753</v>
      </c>
      <c r="P44" s="35" t="n">
        <f aca="false">-(Inputs!$B$163+Inputs!$B$164)*IF(2038&lt;2028+Inputs!$B$9,0,IF(2038=2028+Inputs!$B$9,Inputs!$B$165,1))*(1+Inputs!$B$166)^(2038-2028-Inputs!$B$9)*(Inputs!$B$21/MAX(0.0001,Inputs!$B$20+Inputs!$B$21+Inputs!$B$22))</f>
        <v>-10.0397373052797</v>
      </c>
      <c r="Q44" s="35" t="n">
        <f aca="false">-(Inputs!$B$163+Inputs!$B$164)*IF(2039&lt;2028+Inputs!$B$9,0,IF(2039=2028+Inputs!$B$9,Inputs!$B$165,1))*(1+Inputs!$B$166)^(2039-2028-Inputs!$B$9)*(Inputs!$B$21/MAX(0.0001,Inputs!$B$20+Inputs!$B$21+Inputs!$B$22))</f>
        <v>-10.2907307379117</v>
      </c>
      <c r="R44" s="35" t="n">
        <f aca="false">-(Inputs!$B$163+Inputs!$B$164)*IF(2040&lt;2028+Inputs!$B$9,0,IF(2040=2028+Inputs!$B$9,Inputs!$B$165,1))*(1+Inputs!$B$166)^(2040-2028-Inputs!$B$9)*(Inputs!$B$21/MAX(0.0001,Inputs!$B$20+Inputs!$B$21+Inputs!$B$22))</f>
        <v>-10.5479990063595</v>
      </c>
      <c r="S44" s="35" t="n">
        <f aca="false">-(Inputs!$B$163+Inputs!$B$164)*IF(2041&lt;2028+Inputs!$B$9,0,IF(2041=2028+Inputs!$B$9,Inputs!$B$165,1))*(1+Inputs!$B$166)^(2041-2028-Inputs!$B$9)*(Inputs!$B$21/MAX(0.0001,Inputs!$B$20+Inputs!$B$21+Inputs!$B$22))</f>
        <v>-10.8116989815185</v>
      </c>
      <c r="T44" s="35" t="n">
        <f aca="false">-(Inputs!$B$163+Inputs!$B$164)*IF(2042&lt;2028+Inputs!$B$9,0,IF(2042=2028+Inputs!$B$9,Inputs!$B$165,1))*(1+Inputs!$B$166)^(2042-2028-Inputs!$B$9)*(Inputs!$B$21/MAX(0.0001,Inputs!$B$20+Inputs!$B$21+Inputs!$B$22))</f>
        <v>-11.0819914560564</v>
      </c>
      <c r="U44" s="35" t="n">
        <f aca="false">-(Inputs!$B$163+Inputs!$B$164)*IF(2043&lt;2028+Inputs!$B$9,0,IF(2043=2028+Inputs!$B$9,Inputs!$B$165,1))*(1+Inputs!$B$166)^(2043-2028-Inputs!$B$9)*(Inputs!$B$21/MAX(0.0001,Inputs!$B$20+Inputs!$B$21+Inputs!$B$22))</f>
        <v>-11.3590412424579</v>
      </c>
      <c r="V44" s="35" t="n">
        <f aca="false">-(Inputs!$B$163+Inputs!$B$164)*IF(2044&lt;2028+Inputs!$B$9,0,IF(2044=2028+Inputs!$B$9,Inputs!$B$165,1))*(1+Inputs!$B$166)^(2044-2028-Inputs!$B$9)*(Inputs!$B$21/MAX(0.0001,Inputs!$B$20+Inputs!$B$21+Inputs!$B$22))</f>
        <v>-11.6430172735193</v>
      </c>
      <c r="W44" s="35" t="n">
        <f aca="false">-(Inputs!$B$163+Inputs!$B$164)*IF(2045&lt;2028+Inputs!$B$9,0,IF(2045=2028+Inputs!$B$9,Inputs!$B$165,1))*(1+Inputs!$B$166)^(2045-2028-Inputs!$B$9)*(Inputs!$B$21/MAX(0.0001,Inputs!$B$20+Inputs!$B$21+Inputs!$B$22))</f>
        <v>-11.9340927053573</v>
      </c>
      <c r="X44" s="35" t="n">
        <f aca="false">-(Inputs!$B$163+Inputs!$B$164)*IF(2046&lt;2028+Inputs!$B$9,0,IF(2046=2028+Inputs!$B$9,Inputs!$B$165,1))*(1+Inputs!$B$166)^(2046-2028-Inputs!$B$9)*(Inputs!$B$21/MAX(0.0001,Inputs!$B$20+Inputs!$B$21+Inputs!$B$22))</f>
        <v>-12.2324450229912</v>
      </c>
      <c r="Y44" s="35" t="n">
        <f aca="false">-(Inputs!$B$163+Inputs!$B$164)*IF(2047&lt;2028+Inputs!$B$9,0,IF(2047=2028+Inputs!$B$9,Inputs!$B$165,1))*(1+Inputs!$B$166)^(2047-2028-Inputs!$B$9)*(Inputs!$B$21/MAX(0.0001,Inputs!$B$20+Inputs!$B$21+Inputs!$B$22))</f>
        <v>-12.538256148566</v>
      </c>
      <c r="Z44" s="35" t="n">
        <f aca="false">-(Inputs!$B$163+Inputs!$B$164)*IF(2048&lt;2028+Inputs!$B$9,0,IF(2048=2028+Inputs!$B$9,Inputs!$B$165,1))*(1+Inputs!$B$166)^(2048-2028-Inputs!$B$9)*(Inputs!$B$21/MAX(0.0001,Inputs!$B$20+Inputs!$B$21+Inputs!$B$22))</f>
        <v>-12.8517125522801</v>
      </c>
      <c r="AA44" s="35" t="n">
        <f aca="false">-(Inputs!$B$163+Inputs!$B$164)*IF(2049&lt;2028+Inputs!$B$9,0,IF(2049=2028+Inputs!$B$9,Inputs!$B$165,1))*(1+Inputs!$B$166)^(2049-2028-Inputs!$B$9)*(Inputs!$B$21/MAX(0.0001,Inputs!$B$20+Inputs!$B$21+Inputs!$B$22))</f>
        <v>-13.1730053660871</v>
      </c>
      <c r="AB44" s="35" t="n">
        <f aca="false">-(Inputs!$B$163+Inputs!$B$164)*IF(2050&lt;2028+Inputs!$B$9,0,IF(2050=2028+Inputs!$B$9,Inputs!$B$165,1))*(1+Inputs!$B$166)^(2050-2028-Inputs!$B$9)*(Inputs!$B$21/MAX(0.0001,Inputs!$B$20+Inputs!$B$21+Inputs!$B$22))</f>
        <v>-13.5023305002393</v>
      </c>
      <c r="AC44" s="35" t="n">
        <f aca="false">-(Inputs!$B$163+Inputs!$B$164)*IF(2051&lt;2028+Inputs!$B$9,0,IF(2051=2028+Inputs!$B$9,Inputs!$B$165,1))*(1+Inputs!$B$166)^(2051-2028-Inputs!$B$9)*(Inputs!$B$21/MAX(0.0001,Inputs!$B$20+Inputs!$B$21+Inputs!$B$22))</f>
        <v>-13.8398887627453</v>
      </c>
      <c r="AD44" s="35" t="n">
        <f aca="false">-(Inputs!$B$163+Inputs!$B$164)*IF(2052&lt;2028+Inputs!$B$9,0,IF(2052=2028+Inputs!$B$9,Inputs!$B$165,1))*(1+Inputs!$B$166)^(2052-2028-Inputs!$B$9)*(Inputs!$B$21/MAX(0.0001,Inputs!$B$20+Inputs!$B$21+Inputs!$B$22))</f>
        <v>-14.1858859818139</v>
      </c>
      <c r="AE44" s="35" t="n">
        <f aca="false">-(Inputs!$B$163+Inputs!$B$164)*IF(2053&lt;2028+Inputs!$B$9,0,IF(2053=2028+Inputs!$B$9,Inputs!$B$165,1))*(1+Inputs!$B$166)^(2053-2028-Inputs!$B$9)*(Inputs!$B$21/MAX(0.0001,Inputs!$B$20+Inputs!$B$21+Inputs!$B$22))</f>
        <v>-14.5405331313593</v>
      </c>
      <c r="AF44" s="35" t="n">
        <f aca="false">-(Inputs!$B$163+Inputs!$B$164)*IF(2054&lt;2028+Inputs!$B$9,0,IF(2054=2028+Inputs!$B$9,Inputs!$B$165,1))*(1+Inputs!$B$166)^(2054-2028-Inputs!$B$9)*(Inputs!$B$21/MAX(0.0001,Inputs!$B$20+Inputs!$B$21+Inputs!$B$22))</f>
        <v>-14.9040464596433</v>
      </c>
      <c r="AG44" s="35" t="n">
        <f aca="false">-(Inputs!$B$163+Inputs!$B$164)*IF(2055&lt;2028+Inputs!$B$9,0,IF(2055=2028+Inputs!$B$9,Inputs!$B$165,1))*(1+Inputs!$B$166)^(2055-2028-Inputs!$B$9)*(Inputs!$B$21/MAX(0.0001,Inputs!$B$20+Inputs!$B$21+Inputs!$B$22))</f>
        <v>-15.2766476211343</v>
      </c>
      <c r="AH44" s="35" t="n">
        <f aca="false">-(Inputs!$B$163+Inputs!$B$164)*IF(2056&lt;2028+Inputs!$B$9,0,IF(2056=2028+Inputs!$B$9,Inputs!$B$165,1))*(1+Inputs!$B$166)^(2056-2028-Inputs!$B$9)*(Inputs!$B$21/MAX(0.0001,Inputs!$B$20+Inputs!$B$21+Inputs!$B$22))</f>
        <v>-15.6585638116627</v>
      </c>
      <c r="AI44" s="35" t="n">
        <f aca="false">-(Inputs!$B$163+Inputs!$B$164)*IF(2057&lt;2028+Inputs!$B$9,0,IF(2057=2028+Inputs!$B$9,Inputs!$B$165,1))*(1+Inputs!$B$166)^(2057-2028-Inputs!$B$9)*(Inputs!$B$21/MAX(0.0001,Inputs!$B$20+Inputs!$B$21+Inputs!$B$22))</f>
        <v>-16.0500279069543</v>
      </c>
      <c r="AJ44" s="35" t="n">
        <f aca="false">-(Inputs!$B$163+Inputs!$B$164)*IF(2058&lt;2028+Inputs!$B$9,0,IF(2058=2028+Inputs!$B$9,Inputs!$B$165,1))*(1+Inputs!$B$166)^(2058-2028-Inputs!$B$9)*(Inputs!$B$21/MAX(0.0001,Inputs!$B$20+Inputs!$B$21+Inputs!$B$22))</f>
        <v>-16.4512786046281</v>
      </c>
      <c r="AK44" s="35" t="n">
        <f aca="false">-(Inputs!$B$163+Inputs!$B$164)*IF(2059&lt;2028+Inputs!$B$9,0,IF(2059=2028+Inputs!$B$9,Inputs!$B$165,1))*(1+Inputs!$B$166)^(2059-2028-Inputs!$B$9)*(Inputs!$B$21/MAX(0.0001,Inputs!$B$20+Inputs!$B$21+Inputs!$B$22))</f>
        <v>-16.8625605697438</v>
      </c>
      <c r="AL44" s="35" t="n">
        <f aca="false">-(Inputs!$B$163+Inputs!$B$164)*IF(2060&lt;2028+Inputs!$B$9,0,IF(2060=2028+Inputs!$B$9,Inputs!$B$165,1))*(1+Inputs!$B$166)^(2060-2028-Inputs!$B$9)*(Inputs!$B$21/MAX(0.0001,Inputs!$B$20+Inputs!$B$21+Inputs!$B$22))</f>
        <v>-17.2841245839874</v>
      </c>
      <c r="AM44" s="35" t="n">
        <f aca="false">-(Inputs!$B$163+Inputs!$B$164)*IF(2061&lt;2028+Inputs!$B$9,0,IF(2061=2028+Inputs!$B$9,Inputs!$B$165,1))*(1+Inputs!$B$166)^(2061-2028-Inputs!$B$9)*(Inputs!$B$21/MAX(0.0001,Inputs!$B$20+Inputs!$B$21+Inputs!$B$22))</f>
        <v>-17.7162276985871</v>
      </c>
      <c r="AN44" s="35" t="n">
        <f aca="false">-(Inputs!$B$163+Inputs!$B$164)*IF(2062&lt;2028+Inputs!$B$9,0,IF(2062=2028+Inputs!$B$9,Inputs!$B$165,1))*(1+Inputs!$B$166)^(2062-2028-Inputs!$B$9)*(Inputs!$B$21/MAX(0.0001,Inputs!$B$20+Inputs!$B$21+Inputs!$B$22))</f>
        <v>-18.1591333910518</v>
      </c>
      <c r="AO44" s="35" t="n">
        <f aca="false">-(Inputs!$B$163+Inputs!$B$164)*IF(2063&lt;2028+Inputs!$B$9,0,IF(2063=2028+Inputs!$B$9,Inputs!$B$165,1))*(1+Inputs!$B$166)^(2063-2028-Inputs!$B$9)*(Inputs!$B$21/MAX(0.0001,Inputs!$B$20+Inputs!$B$21+Inputs!$B$22))</f>
        <v>-18.6131117258281</v>
      </c>
      <c r="AP44" s="35" t="n">
        <f aca="false">-(Inputs!$B$163+Inputs!$B$164)*IF(2064&lt;2028+Inputs!$B$9,0,IF(2064=2028+Inputs!$B$9,Inputs!$B$165,1))*(1+Inputs!$B$166)^(2064-2028-Inputs!$B$9)*(Inputs!$B$21/MAX(0.0001,Inputs!$B$20+Inputs!$B$21+Inputs!$B$22))</f>
        <v>-19.0784395189738</v>
      </c>
      <c r="AQ44" s="35" t="n">
        <f aca="false">-(Inputs!$B$163+Inputs!$B$164)*IF(2065&lt;2028+Inputs!$B$9,0,IF(2065=2028+Inputs!$B$9,Inputs!$B$165,1))*(1+Inputs!$B$166)^(2065-2028-Inputs!$B$9)*(Inputs!$B$21/MAX(0.0001,Inputs!$B$20+Inputs!$B$21+Inputs!$B$22))</f>
        <v>-19.5554005069481</v>
      </c>
      <c r="AR44" s="35" t="n">
        <f aca="false">-(Inputs!$B$163+Inputs!$B$164)*IF(2066&lt;2028+Inputs!$B$9,0,IF(2066=2028+Inputs!$B$9,Inputs!$B$165,1))*(1+Inputs!$B$166)^(2066-2028-Inputs!$B$9)*(Inputs!$B$21/MAX(0.0001,Inputs!$B$20+Inputs!$B$21+Inputs!$B$22))</f>
        <v>-20.0442855196218</v>
      </c>
      <c r="AS44" s="35" t="n">
        <f aca="false">-(Inputs!$B$163+Inputs!$B$164)*IF(2067&lt;2028+Inputs!$B$9,0,IF(2067=2028+Inputs!$B$9,Inputs!$B$165,1))*(1+Inputs!$B$166)^(2067-2028-Inputs!$B$9)*(Inputs!$B$21/MAX(0.0001,Inputs!$B$20+Inputs!$B$21+Inputs!$B$22))</f>
        <v>-20.5453926576124</v>
      </c>
      <c r="AT44" s="35" t="n">
        <f aca="false">-(Inputs!$B$163+Inputs!$B$164)*IF(2068&lt;2028+Inputs!$B$9,0,IF(2068=2028+Inputs!$B$9,Inputs!$B$165,1))*(1+Inputs!$B$166)^(2068-2028-Inputs!$B$9)*(Inputs!$B$21/MAX(0.0001,Inputs!$B$20+Inputs!$B$21+Inputs!$B$22))</f>
        <v>-21.0590274740527</v>
      </c>
      <c r="AU44" s="35" t="n">
        <f aca="false">-(Inputs!$B$163+Inputs!$B$164)*IF(2069&lt;2028+Inputs!$B$9,0,IF(2069=2028+Inputs!$B$9,Inputs!$B$165,1))*(1+Inputs!$B$166)^(2069-2028-Inputs!$B$9)*(Inputs!$B$21/MAX(0.0001,Inputs!$B$20+Inputs!$B$21+Inputs!$B$22))</f>
        <v>-21.585503160904</v>
      </c>
      <c r="AV44" s="35" t="n">
        <f aca="false">-(Inputs!$B$163+Inputs!$B$164)*IF(2070&lt;2028+Inputs!$B$9,0,IF(2070=2028+Inputs!$B$9,Inputs!$B$165,1))*(1+Inputs!$B$166)^(2070-2028-Inputs!$B$9)*(Inputs!$B$21/MAX(0.0001,Inputs!$B$20+Inputs!$B$21+Inputs!$B$22))</f>
        <v>-22.1251407399266</v>
      </c>
      <c r="AW44" s="35" t="n">
        <f aca="false">-(Inputs!$B$163+Inputs!$B$164)*IF(2071&lt;2028+Inputs!$B$9,0,IF(2071=2028+Inputs!$B$9,Inputs!$B$165,1))*(1+Inputs!$B$166)^(2071-2028-Inputs!$B$9)*(Inputs!$B$21/MAX(0.0001,Inputs!$B$20+Inputs!$B$21+Inputs!$B$22))</f>
        <v>-22.6782692584247</v>
      </c>
      <c r="AX44" s="35" t="n">
        <f aca="false">-(Inputs!$B$163+Inputs!$B$164)*IF(2072&lt;2028+Inputs!$B$9,0,IF(2072=2028+Inputs!$B$9,Inputs!$B$165,1))*(1+Inputs!$B$166)^(2072-2028-Inputs!$B$9)*(Inputs!$B$21/MAX(0.0001,Inputs!$B$20+Inputs!$B$21+Inputs!$B$22))</f>
        <v>-23.2452259898854</v>
      </c>
      <c r="AY44" s="35" t="n">
        <f aca="false">-(Inputs!$B$163+Inputs!$B$164)*IF(2073&lt;2028+Inputs!$B$9,0,IF(2073=2028+Inputs!$B$9,Inputs!$B$165,1))*(1+Inputs!$B$166)^(2073-2028-Inputs!$B$9)*(Inputs!$B$21/MAX(0.0001,Inputs!$B$20+Inputs!$B$21+Inputs!$B$22))</f>
        <v>-23.8263566396325</v>
      </c>
      <c r="AZ44" s="35" t="n">
        <f aca="false">-(Inputs!$B$163+Inputs!$B$164)*IF(2074&lt;2028+Inputs!$B$9,0,IF(2074=2028+Inputs!$B$9,Inputs!$B$165,1))*(1+Inputs!$B$166)^(2074-2028-Inputs!$B$9)*(Inputs!$B$21/MAX(0.0001,Inputs!$B$20+Inputs!$B$21+Inputs!$B$22))</f>
        <v>-24.4220155556233</v>
      </c>
    </row>
    <row r="45" customFormat="false" ht="15" hidden="false" customHeight="false" outlineLevel="0" collapsed="false">
      <c r="A45" s="3" t="s">
        <v>152</v>
      </c>
      <c r="C45" s="37" t="n">
        <f aca="false">SUM(D45:AZ45)</f>
        <v>3884.5513792393</v>
      </c>
      <c r="D45" s="37" t="n">
        <f aca="false">D38+SUM(D41:D44)</f>
        <v>0</v>
      </c>
      <c r="E45" s="37" t="n">
        <f aca="false">E38+SUM(E41:E44)</f>
        <v>0</v>
      </c>
      <c r="F45" s="37" t="n">
        <f aca="false">F38+SUM(F41:F44)</f>
        <v>1.58557127198653</v>
      </c>
      <c r="G45" s="37" t="n">
        <f aca="false">G38+SUM(G41:G44)</f>
        <v>23.0488171153561</v>
      </c>
      <c r="H45" s="37" t="n">
        <f aca="false">H38+SUM(H41:H44)</f>
        <v>25.2376495552299</v>
      </c>
      <c r="I45" s="37" t="n">
        <f aca="false">I38+SUM(I41:I44)</f>
        <v>26.7549363061006</v>
      </c>
      <c r="J45" s="37" t="n">
        <f aca="false">J38+SUM(J41:J44)</f>
        <v>30.160939725743</v>
      </c>
      <c r="K45" s="37" t="n">
        <f aca="false">K38+SUM(K41:K44)</f>
        <v>33.7869382308765</v>
      </c>
      <c r="L45" s="37" t="n">
        <f aca="false">L38+SUM(L41:L44)</f>
        <v>37.9992861986384</v>
      </c>
      <c r="M45" s="37" t="n">
        <f aca="false">M38+SUM(M41:M44)</f>
        <v>42.6457538655943</v>
      </c>
      <c r="N45" s="37" t="n">
        <f aca="false">N38+SUM(N41:N44)</f>
        <v>46.4767272242241</v>
      </c>
      <c r="O45" s="37" t="n">
        <f aca="false">O38+SUM(O41:O44)</f>
        <v>50.2312079168196</v>
      </c>
      <c r="P45" s="37" t="n">
        <f aca="false">P38+SUM(P41:P44)</f>
        <v>53.9379331267301</v>
      </c>
      <c r="Q45" s="37" t="n">
        <f aca="false">Q38+SUM(Q41:Q44)</f>
        <v>57.9767954668883</v>
      </c>
      <c r="R45" s="37" t="n">
        <f aca="false">R38+SUM(R41:R44)</f>
        <v>62.3037228655504</v>
      </c>
      <c r="S45" s="37" t="n">
        <f aca="false">S38+SUM(S41:S44)</f>
        <v>63.9020584491791</v>
      </c>
      <c r="T45" s="37" t="n">
        <f aca="false">T38+SUM(T41:T44)</f>
        <v>65.5403524223985</v>
      </c>
      <c r="U45" s="37" t="n">
        <f aca="false">U38+SUM(U41:U44)</f>
        <v>67.2196037449484</v>
      </c>
      <c r="V45" s="37" t="n">
        <f aca="false">V38+SUM(V41:V44)</f>
        <v>68.940836350562</v>
      </c>
      <c r="W45" s="37" t="n">
        <f aca="false">W38+SUM(W41:W44)</f>
        <v>70.705099771316</v>
      </c>
      <c r="X45" s="37" t="n">
        <f aca="false">X38+SUM(X41:X44)</f>
        <v>72.5134697775889</v>
      </c>
      <c r="Y45" s="37" t="n">
        <f aca="false">Y38+SUM(Y41:Y44)</f>
        <v>74.3670490340185</v>
      </c>
      <c r="Z45" s="37" t="n">
        <f aca="false">Z38+SUM(Z41:Z44)</f>
        <v>76.2669677718589</v>
      </c>
      <c r="AA45" s="37" t="n">
        <f aca="false">AA38+SUM(AA41:AA44)</f>
        <v>78.2143844781453</v>
      </c>
      <c r="AB45" s="37" t="n">
        <f aca="false">AB38+SUM(AB41:AB44)</f>
        <v>80.2104866020889</v>
      </c>
      <c r="AC45" s="37" t="n">
        <f aca="false">AC38+SUM(AC41:AC44)</f>
        <v>82.256491279131</v>
      </c>
      <c r="AD45" s="37" t="n">
        <f aca="false">AD38+SUM(AD41:AD44)</f>
        <v>84.3536460730992</v>
      </c>
      <c r="AE45" s="37" t="n">
        <f aca="false">AE38+SUM(AE41:AE44)</f>
        <v>86.5032297369166</v>
      </c>
      <c r="AF45" s="37" t="n">
        <f aca="false">AF38+SUM(AF41:AF44)</f>
        <v>88.7065529923295</v>
      </c>
      <c r="AG45" s="37" t="n">
        <f aca="false">AG38+SUM(AG41:AG44)</f>
        <v>90.9649593291276</v>
      </c>
      <c r="AH45" s="37" t="n">
        <f aca="false">AH38+SUM(AH41:AH44)</f>
        <v>93.2798258243458</v>
      </c>
      <c r="AI45" s="37" t="n">
        <f aca="false">AI38+SUM(AI41:AI44)</f>
        <v>95.6525639819443</v>
      </c>
      <c r="AJ45" s="37" t="n">
        <f aca="false">AJ38+SUM(AJ41:AJ44)</f>
        <v>98.0846205934829</v>
      </c>
      <c r="AK45" s="37" t="n">
        <f aca="false">AK38+SUM(AK41:AK44)</f>
        <v>100.57747862031</v>
      </c>
      <c r="AL45" s="37" t="n">
        <f aca="false">AL38+SUM(AL41:AL44)</f>
        <v>103.132658097808</v>
      </c>
      <c r="AM45" s="37" t="n">
        <f aca="false">AM38+SUM(AM41:AM44)</f>
        <v>105.751717062243</v>
      </c>
      <c r="AN45" s="37" t="n">
        <f aca="false">AN38+SUM(AN41:AN44)</f>
        <v>108.436252500789</v>
      </c>
      <c r="AO45" s="37" t="n">
        <f aca="false">AO38+SUM(AO41:AO44)</f>
        <v>111.187901325298</v>
      </c>
      <c r="AP45" s="37" t="n">
        <f aca="false">AP38+SUM(AP41:AP44)</f>
        <v>114.008341370421</v>
      </c>
      <c r="AQ45" s="37" t="n">
        <f aca="false">AQ38+SUM(AQ41:AQ44)</f>
        <v>116.899292416671</v>
      </c>
      <c r="AR45" s="37" t="n">
        <f aca="false">AR38+SUM(AR41:AR44)</f>
        <v>119.862517239078</v>
      </c>
      <c r="AS45" s="37" t="n">
        <f aca="false">AS38+SUM(AS41:AS44)</f>
        <v>122.899822682045</v>
      </c>
      <c r="AT45" s="37" t="n">
        <f aca="false">AT38+SUM(AT41:AT44)</f>
        <v>126.013060761086</v>
      </c>
      <c r="AU45" s="37" t="n">
        <f aca="false">AU38+SUM(AU41:AU44)</f>
        <v>129.204129792103</v>
      </c>
      <c r="AV45" s="37" t="n">
        <f aca="false">AV38+SUM(AV41:AV44)</f>
        <v>132.474975548895</v>
      </c>
      <c r="AW45" s="37" t="n">
        <f aca="false">AW38+SUM(AW41:AW44)</f>
        <v>135.827592449608</v>
      </c>
      <c r="AX45" s="37" t="n">
        <f aca="false">AX38+SUM(AX41:AX44)</f>
        <v>139.264024772838</v>
      </c>
      <c r="AY45" s="37" t="n">
        <f aca="false">AY38+SUM(AY41:AY44)</f>
        <v>142.786367904149</v>
      </c>
      <c r="AZ45" s="37" t="n">
        <f aca="false">AZ38+SUM(AZ41:AZ44)</f>
        <v>146.396769613742</v>
      </c>
    </row>
    <row r="47" customFormat="false" ht="15" hidden="false" customHeight="false" outlineLevel="0" collapsed="false">
      <c r="A47" s="32" t="s">
        <v>153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</row>
    <row r="48" customFormat="false" ht="15" hidden="false" customHeight="false" outlineLevel="0" collapsed="false">
      <c r="A48" s="3" t="s">
        <v>154</v>
      </c>
      <c r="C48" s="38" t="n">
        <f aca="false">SUM(D48:AZ48)</f>
        <v>3749.97356536921</v>
      </c>
      <c r="D48" s="38" t="n">
        <f aca="false">D45-D22</f>
        <v>-6.86497809739291</v>
      </c>
      <c r="E48" s="38" t="n">
        <f aca="false">E45-E22</f>
        <v>-56.631564849179</v>
      </c>
      <c r="F48" s="38" t="n">
        <f aca="false">F45-F22</f>
        <v>-69.495699651528</v>
      </c>
      <c r="G48" s="38" t="n">
        <f aca="false">G45-G22</f>
        <v>23.0488171153561</v>
      </c>
      <c r="H48" s="38" t="n">
        <f aca="false">H45-H22</f>
        <v>25.2376495552299</v>
      </c>
      <c r="I48" s="38" t="n">
        <f aca="false">I45-I22</f>
        <v>26.7549363061006</v>
      </c>
      <c r="J48" s="38" t="n">
        <f aca="false">J45-J22</f>
        <v>30.160939725743</v>
      </c>
      <c r="K48" s="38" t="n">
        <f aca="false">K45-K22</f>
        <v>33.7869382308765</v>
      </c>
      <c r="L48" s="38" t="n">
        <f aca="false">L45-L22</f>
        <v>37.9992861986384</v>
      </c>
      <c r="M48" s="38" t="n">
        <f aca="false">M45-M22</f>
        <v>42.6457538655943</v>
      </c>
      <c r="N48" s="38" t="n">
        <f aca="false">N45-N22</f>
        <v>46.4767272242241</v>
      </c>
      <c r="O48" s="38" t="n">
        <f aca="false">O45-O22</f>
        <v>50.2312079168196</v>
      </c>
      <c r="P48" s="38" t="n">
        <f aca="false">P45-P22</f>
        <v>53.9379331267301</v>
      </c>
      <c r="Q48" s="38" t="n">
        <f aca="false">Q45-Q22</f>
        <v>57.9767954668883</v>
      </c>
      <c r="R48" s="38" t="n">
        <f aca="false">R45-R22</f>
        <v>62.3037228655504</v>
      </c>
      <c r="S48" s="38" t="n">
        <f aca="false">S45-S22</f>
        <v>63.9020584491791</v>
      </c>
      <c r="T48" s="38" t="n">
        <f aca="false">T45-T22</f>
        <v>65.5403524223985</v>
      </c>
      <c r="U48" s="38" t="n">
        <f aca="false">U45-U22</f>
        <v>67.2196037449484</v>
      </c>
      <c r="V48" s="38" t="n">
        <f aca="false">V45-V22</f>
        <v>68.940836350562</v>
      </c>
      <c r="W48" s="38" t="n">
        <f aca="false">W45-W22</f>
        <v>70.705099771316</v>
      </c>
      <c r="X48" s="38" t="n">
        <f aca="false">X45-X22</f>
        <v>72.5134697775889</v>
      </c>
      <c r="Y48" s="38" t="n">
        <f aca="false">Y45-Y22</f>
        <v>74.3670490340185</v>
      </c>
      <c r="Z48" s="38" t="n">
        <f aca="false">Z45-Z22</f>
        <v>76.2669677718589</v>
      </c>
      <c r="AA48" s="38" t="n">
        <f aca="false">AA45-AA22</f>
        <v>78.2143844781453</v>
      </c>
      <c r="AB48" s="38" t="n">
        <f aca="false">AB45-AB22</f>
        <v>80.2104866020889</v>
      </c>
      <c r="AC48" s="38" t="n">
        <f aca="false">AC45-AC22</f>
        <v>82.256491279131</v>
      </c>
      <c r="AD48" s="38" t="n">
        <f aca="false">AD45-AD22</f>
        <v>84.3536460730992</v>
      </c>
      <c r="AE48" s="38" t="n">
        <f aca="false">AE45-AE22</f>
        <v>86.5032297369166</v>
      </c>
      <c r="AF48" s="38" t="n">
        <f aca="false">AF45-AF22</f>
        <v>88.7065529923295</v>
      </c>
      <c r="AG48" s="38" t="n">
        <f aca="false">AG45-AG22</f>
        <v>90.9649593291276</v>
      </c>
      <c r="AH48" s="38" t="n">
        <f aca="false">AH45-AH22</f>
        <v>93.2798258243458</v>
      </c>
      <c r="AI48" s="38" t="n">
        <f aca="false">AI45-AI22</f>
        <v>95.6525639819443</v>
      </c>
      <c r="AJ48" s="38" t="n">
        <f aca="false">AJ45-AJ22</f>
        <v>98.0846205934829</v>
      </c>
      <c r="AK48" s="38" t="n">
        <f aca="false">AK45-AK22</f>
        <v>100.57747862031</v>
      </c>
      <c r="AL48" s="38" t="n">
        <f aca="false">AL45-AL22</f>
        <v>103.132658097808</v>
      </c>
      <c r="AM48" s="38" t="n">
        <f aca="false">AM45-AM22</f>
        <v>105.751717062243</v>
      </c>
      <c r="AN48" s="38" t="n">
        <f aca="false">AN45-AN22</f>
        <v>108.436252500789</v>
      </c>
      <c r="AO48" s="38" t="n">
        <f aca="false">AO45-AO22</f>
        <v>111.187901325298</v>
      </c>
      <c r="AP48" s="38" t="n">
        <f aca="false">AP45-AP22</f>
        <v>114.008341370421</v>
      </c>
      <c r="AQ48" s="38" t="n">
        <f aca="false">AQ45-AQ22</f>
        <v>116.899292416671</v>
      </c>
      <c r="AR48" s="38" t="n">
        <f aca="false">AR45-AR22</f>
        <v>119.862517239078</v>
      </c>
      <c r="AS48" s="38" t="n">
        <f aca="false">AS45-AS22</f>
        <v>122.899822682045</v>
      </c>
      <c r="AT48" s="38" t="n">
        <f aca="false">AT45-AT22</f>
        <v>126.013060761086</v>
      </c>
      <c r="AU48" s="38" t="n">
        <f aca="false">AU45-AU22</f>
        <v>129.204129792103</v>
      </c>
      <c r="AV48" s="38" t="n">
        <f aca="false">AV45-AV22</f>
        <v>132.474975548895</v>
      </c>
      <c r="AW48" s="38" t="n">
        <f aca="false">AW45-AW22</f>
        <v>135.827592449608</v>
      </c>
      <c r="AX48" s="38" t="n">
        <f aca="false">AX45-AX22</f>
        <v>139.264024772838</v>
      </c>
      <c r="AY48" s="38" t="n">
        <f aca="false">AY45-AY22</f>
        <v>142.786367904149</v>
      </c>
      <c r="AZ48" s="38" t="n">
        <f aca="false">AZ45-AZ22</f>
        <v>146.396769613742</v>
      </c>
    </row>
    <row r="49" customFormat="false" ht="15" hidden="false" customHeight="false" outlineLevel="0" collapsed="false">
      <c r="A49" s="34" t="s">
        <v>155</v>
      </c>
      <c r="D49" s="35" t="n">
        <f aca="false">D48</f>
        <v>-6.86497809739291</v>
      </c>
      <c r="E49" s="35" t="n">
        <f aca="false">D49+E48</f>
        <v>-63.4965429465719</v>
      </c>
      <c r="F49" s="35" t="n">
        <f aca="false">E49+F48</f>
        <v>-132.9922425981</v>
      </c>
      <c r="G49" s="35" t="n">
        <f aca="false">F49+G48</f>
        <v>-109.943425482744</v>
      </c>
      <c r="H49" s="35" t="n">
        <f aca="false">G49+H48</f>
        <v>-84.705775927514</v>
      </c>
      <c r="I49" s="35" t="n">
        <f aca="false">H49+I48</f>
        <v>-57.9508396214134</v>
      </c>
      <c r="J49" s="35" t="n">
        <f aca="false">I49+J48</f>
        <v>-27.7898998956704</v>
      </c>
      <c r="K49" s="35" t="n">
        <f aca="false">J49+K48</f>
        <v>5.99703833520613</v>
      </c>
      <c r="L49" s="35" t="n">
        <f aca="false">K49+L48</f>
        <v>43.9963245338445</v>
      </c>
      <c r="M49" s="35" t="n">
        <f aca="false">L49+M48</f>
        <v>86.6420783994388</v>
      </c>
      <c r="N49" s="35" t="n">
        <f aca="false">M49+N48</f>
        <v>133.118805623663</v>
      </c>
      <c r="O49" s="35" t="n">
        <f aca="false">N49+O48</f>
        <v>183.350013540483</v>
      </c>
      <c r="P49" s="35" t="n">
        <f aca="false">O49+P48</f>
        <v>237.287946667213</v>
      </c>
      <c r="Q49" s="35" t="n">
        <f aca="false">P49+Q48</f>
        <v>295.264742134101</v>
      </c>
      <c r="R49" s="35" t="n">
        <f aca="false">Q49+R48</f>
        <v>357.568464999651</v>
      </c>
      <c r="S49" s="35" t="n">
        <f aca="false">R49+S48</f>
        <v>421.47052344883</v>
      </c>
      <c r="T49" s="35" t="n">
        <f aca="false">S49+T48</f>
        <v>487.010875871229</v>
      </c>
      <c r="U49" s="35" t="n">
        <f aca="false">T49+U48</f>
        <v>554.230479616177</v>
      </c>
      <c r="V49" s="35" t="n">
        <f aca="false">U49+V48</f>
        <v>623.171315966739</v>
      </c>
      <c r="W49" s="35" t="n">
        <f aca="false">V49+W48</f>
        <v>693.876415738055</v>
      </c>
      <c r="X49" s="35" t="n">
        <f aca="false">W49+X48</f>
        <v>766.389885515644</v>
      </c>
      <c r="Y49" s="35" t="n">
        <f aca="false">X49+Y48</f>
        <v>840.756934549663</v>
      </c>
      <c r="Z49" s="35" t="n">
        <f aca="false">Y49+Z48</f>
        <v>917.023902321522</v>
      </c>
      <c r="AA49" s="35" t="n">
        <f aca="false">Z49+AA48</f>
        <v>995.238286799667</v>
      </c>
      <c r="AB49" s="35" t="n">
        <f aca="false">AA49+AB48</f>
        <v>1075.44877340176</v>
      </c>
      <c r="AC49" s="35" t="n">
        <f aca="false">AB49+AC48</f>
        <v>1157.70526468089</v>
      </c>
      <c r="AD49" s="35" t="n">
        <f aca="false">AC49+AD48</f>
        <v>1242.05891075399</v>
      </c>
      <c r="AE49" s="35" t="n">
        <f aca="false">AD49+AE48</f>
        <v>1328.5621404909</v>
      </c>
      <c r="AF49" s="35" t="n">
        <f aca="false">AE49+AF48</f>
        <v>1417.26869348323</v>
      </c>
      <c r="AG49" s="35" t="n">
        <f aca="false">AF49+AG48</f>
        <v>1508.23365281236</v>
      </c>
      <c r="AH49" s="35" t="n">
        <f aca="false">AG49+AH48</f>
        <v>1601.51347863671</v>
      </c>
      <c r="AI49" s="35" t="n">
        <f aca="false">AH49+AI48</f>
        <v>1697.16604261865</v>
      </c>
      <c r="AJ49" s="35" t="n">
        <f aca="false">AI49+AJ48</f>
        <v>1795.25066321213</v>
      </c>
      <c r="AK49" s="35" t="n">
        <f aca="false">AJ49+AK48</f>
        <v>1895.82814183244</v>
      </c>
      <c r="AL49" s="35" t="n">
        <f aca="false">AK49+AL48</f>
        <v>1998.96079993025</v>
      </c>
      <c r="AM49" s="35" t="n">
        <f aca="false">AL49+AM48</f>
        <v>2104.71251699249</v>
      </c>
      <c r="AN49" s="35" t="n">
        <f aca="false">AM49+AN48</f>
        <v>2213.14876949328</v>
      </c>
      <c r="AO49" s="35" t="n">
        <f aca="false">AN49+AO48</f>
        <v>2324.33667081858</v>
      </c>
      <c r="AP49" s="35" t="n">
        <f aca="false">AO49+AP48</f>
        <v>2438.345012189</v>
      </c>
      <c r="AQ49" s="35" t="n">
        <f aca="false">AP49+AQ48</f>
        <v>2555.24430460567</v>
      </c>
      <c r="AR49" s="35" t="n">
        <f aca="false">AQ49+AR48</f>
        <v>2675.10682184475</v>
      </c>
      <c r="AS49" s="35" t="n">
        <f aca="false">AR49+AS48</f>
        <v>2798.00664452679</v>
      </c>
      <c r="AT49" s="35" t="n">
        <f aca="false">AS49+AT48</f>
        <v>2924.01970528788</v>
      </c>
      <c r="AU49" s="35" t="n">
        <f aca="false">AT49+AU48</f>
        <v>3053.22383507998</v>
      </c>
      <c r="AV49" s="35" t="n">
        <f aca="false">AU49+AV48</f>
        <v>3185.69881062888</v>
      </c>
      <c r="AW49" s="35" t="n">
        <f aca="false">AV49+AW48</f>
        <v>3321.52640307849</v>
      </c>
      <c r="AX49" s="35" t="n">
        <f aca="false">AW49+AX48</f>
        <v>3460.79042785132</v>
      </c>
      <c r="AY49" s="35" t="n">
        <f aca="false">AX49+AY48</f>
        <v>3603.57679575547</v>
      </c>
      <c r="AZ49" s="35" t="n">
        <f aca="false">AY49+AZ48</f>
        <v>3749.97356536921</v>
      </c>
    </row>
    <row r="50" customFormat="false" ht="15" hidden="false" customHeight="false" outlineLevel="0" collapsed="false">
      <c r="A50" s="34" t="s">
        <v>156</v>
      </c>
      <c r="D50" s="35" t="n">
        <f aca="false">IF(2026=Inputs!$B$176,E45/Inputs!$B$177*(1-(1+Inputs!$B$177)^-(Inputs!$B$55-2026)),0)</f>
        <v>0</v>
      </c>
      <c r="E50" s="35" t="n">
        <f aca="false">IF(2027=Inputs!$B$176,F45/Inputs!$B$177*(1-(1+Inputs!$B$177)^-(Inputs!$B$55-2027)),0)</f>
        <v>0</v>
      </c>
      <c r="F50" s="35" t="n">
        <f aca="false">IF(2028=Inputs!$B$176,G45/Inputs!$B$177*(1-(1+Inputs!$B$177)^-(Inputs!$B$55-2028)),0)</f>
        <v>0</v>
      </c>
      <c r="G50" s="35" t="n">
        <f aca="false">IF(2029=Inputs!$B$176,H45/Inputs!$B$177*(1-(1+Inputs!$B$177)^-(Inputs!$B$55-2029)),0)</f>
        <v>0</v>
      </c>
      <c r="H50" s="35" t="n">
        <f aca="false">IF(2030=Inputs!$B$176,I45/Inputs!$B$177*(1-(1+Inputs!$B$177)^-(Inputs!$B$55-2030)),0)</f>
        <v>0</v>
      </c>
      <c r="I50" s="35" t="n">
        <f aca="false">IF(2031=Inputs!$B$176,J45/Inputs!$B$177*(1-(1+Inputs!$B$177)^-(Inputs!$B$55-2031)),0)</f>
        <v>0</v>
      </c>
      <c r="J50" s="35" t="n">
        <f aca="false">IF(2032=Inputs!$B$176,K45/Inputs!$B$177*(1-(1+Inputs!$B$177)^-(Inputs!$B$55-2032)),0)</f>
        <v>0</v>
      </c>
      <c r="K50" s="35" t="n">
        <f aca="false">IF(2033=Inputs!$B$176,L45/Inputs!$B$177*(1-(1+Inputs!$B$177)^-(Inputs!$B$55-2033)),0)</f>
        <v>0</v>
      </c>
      <c r="L50" s="35" t="n">
        <f aca="false">IF(2034=Inputs!$B$176,M45/Inputs!$B$177*(1-(1+Inputs!$B$177)^-(Inputs!$B$55-2034)),0)</f>
        <v>0</v>
      </c>
      <c r="M50" s="35" t="n">
        <f aca="false">IF(2035=Inputs!$B$176,N45/Inputs!$B$177*(1-(1+Inputs!$B$177)^-(Inputs!$B$55-2035)),0)</f>
        <v>0</v>
      </c>
      <c r="N50" s="35" t="n">
        <f aca="false">IF(2036=Inputs!$B$176,O45/Inputs!$B$177*(1-(1+Inputs!$B$177)^-(Inputs!$B$55-2036)),0)</f>
        <v>0</v>
      </c>
      <c r="O50" s="35" t="n">
        <f aca="false">IF(2037=Inputs!$B$176,P45/Inputs!$B$177*(1-(1+Inputs!$B$177)^-(Inputs!$B$55-2037)),0)</f>
        <v>0</v>
      </c>
      <c r="P50" s="35" t="n">
        <f aca="false">IF(2038=Inputs!$B$176,Q45/Inputs!$B$177*(1-(1+Inputs!$B$177)^-(Inputs!$B$55-2038)),0)</f>
        <v>0</v>
      </c>
      <c r="Q50" s="35" t="n">
        <f aca="false">IF(2039=Inputs!$B$176,R45/Inputs!$B$177*(1-(1+Inputs!$B$177)^-(Inputs!$B$55-2039)),0)</f>
        <v>0</v>
      </c>
      <c r="R50" s="35" t="n">
        <f aca="false">IF(2040=Inputs!$B$176,S45/Inputs!$B$177*(1-(1+Inputs!$B$177)^-(Inputs!$B$55-2040)),0)</f>
        <v>614.007712948255</v>
      </c>
      <c r="S50" s="35" t="n">
        <f aca="false">IF(2041=Inputs!$B$176,T45/Inputs!$B$177*(1-(1+Inputs!$B$177)^-(Inputs!$B$55-2041)),0)</f>
        <v>0</v>
      </c>
      <c r="T50" s="35" t="n">
        <f aca="false">IF(2042=Inputs!$B$176,U45/Inputs!$B$177*(1-(1+Inputs!$B$177)^-(Inputs!$B$55-2042)),0)</f>
        <v>0</v>
      </c>
      <c r="U50" s="35" t="n">
        <f aca="false">IF(2043=Inputs!$B$176,V45/Inputs!$B$177*(1-(1+Inputs!$B$177)^-(Inputs!$B$55-2043)),0)</f>
        <v>0</v>
      </c>
      <c r="V50" s="35" t="n">
        <f aca="false">IF(2044=Inputs!$B$176,W45/Inputs!$B$177*(1-(1+Inputs!$B$177)^-(Inputs!$B$55-2044)),0)</f>
        <v>0</v>
      </c>
      <c r="W50" s="35" t="n">
        <f aca="false">IF(2045=Inputs!$B$176,X45/Inputs!$B$177*(1-(1+Inputs!$B$177)^-(Inputs!$B$55-2045)),0)</f>
        <v>0</v>
      </c>
      <c r="X50" s="35" t="n">
        <f aca="false">IF(2046=Inputs!$B$176,Y45/Inputs!$B$177*(1-(1+Inputs!$B$177)^-(Inputs!$B$55-2046)),0)</f>
        <v>0</v>
      </c>
      <c r="Y50" s="35" t="n">
        <f aca="false">IF(2047=Inputs!$B$176,Z45/Inputs!$B$177*(1-(1+Inputs!$B$177)^-(Inputs!$B$55-2047)),0)</f>
        <v>0</v>
      </c>
      <c r="Z50" s="35" t="n">
        <f aca="false">IF(2048=Inputs!$B$176,AA45/Inputs!$B$177*(1-(1+Inputs!$B$177)^-(Inputs!$B$55-2048)),0)</f>
        <v>0</v>
      </c>
      <c r="AA50" s="35" t="n">
        <f aca="false">IF(2049=Inputs!$B$176,AB45/Inputs!$B$177*(1-(1+Inputs!$B$177)^-(Inputs!$B$55-2049)),0)</f>
        <v>0</v>
      </c>
      <c r="AB50" s="35" t="n">
        <f aca="false">IF(2050=Inputs!$B$176,AC45/Inputs!$B$177*(1-(1+Inputs!$B$177)^-(Inputs!$B$55-2050)),0)</f>
        <v>0</v>
      </c>
      <c r="AC50" s="35" t="n">
        <f aca="false">IF(2051=Inputs!$B$176,AD45/Inputs!$B$177*(1-(1+Inputs!$B$177)^-(Inputs!$B$55-2051)),0)</f>
        <v>0</v>
      </c>
      <c r="AD50" s="35" t="n">
        <f aca="false">IF(2052=Inputs!$B$176,AE45/Inputs!$B$177*(1-(1+Inputs!$B$177)^-(Inputs!$B$55-2052)),0)</f>
        <v>0</v>
      </c>
      <c r="AE50" s="35" t="n">
        <f aca="false">IF(2053=Inputs!$B$176,AF45/Inputs!$B$177*(1-(1+Inputs!$B$177)^-(Inputs!$B$55-2053)),0)</f>
        <v>0</v>
      </c>
      <c r="AF50" s="35" t="n">
        <f aca="false">IF(2054=Inputs!$B$176,AG45/Inputs!$B$177*(1-(1+Inputs!$B$177)^-(Inputs!$B$55-2054)),0)</f>
        <v>0</v>
      </c>
      <c r="AG50" s="35" t="n">
        <f aca="false">IF(2055=Inputs!$B$176,AH45/Inputs!$B$177*(1-(1+Inputs!$B$177)^-(Inputs!$B$55-2055)),0)</f>
        <v>0</v>
      </c>
      <c r="AH50" s="35" t="n">
        <f aca="false">IF(2056=Inputs!$B$176,AI45/Inputs!$B$177*(1-(1+Inputs!$B$177)^-(Inputs!$B$55-2056)),0)</f>
        <v>0</v>
      </c>
      <c r="AI50" s="35" t="n">
        <f aca="false">IF(2057=Inputs!$B$176,AJ45/Inputs!$B$177*(1-(1+Inputs!$B$177)^-(Inputs!$B$55-2057)),0)</f>
        <v>0</v>
      </c>
      <c r="AJ50" s="35" t="n">
        <f aca="false">IF(2058=Inputs!$B$176,AK45/Inputs!$B$177*(1-(1+Inputs!$B$177)^-(Inputs!$B$55-2058)),0)</f>
        <v>0</v>
      </c>
      <c r="AK50" s="35" t="n">
        <f aca="false">IF(2059=Inputs!$B$176,AL45/Inputs!$B$177*(1-(1+Inputs!$B$177)^-(Inputs!$B$55-2059)),0)</f>
        <v>0</v>
      </c>
      <c r="AL50" s="35" t="n">
        <f aca="false">IF(2060=Inputs!$B$176,AM45/Inputs!$B$177*(1-(1+Inputs!$B$177)^-(Inputs!$B$55-2060)),0)</f>
        <v>0</v>
      </c>
      <c r="AM50" s="35" t="n">
        <f aca="false">IF(2061=Inputs!$B$176,AN45/Inputs!$B$177*(1-(1+Inputs!$B$177)^-(Inputs!$B$55-2061)),0)</f>
        <v>0</v>
      </c>
      <c r="AN50" s="35" t="n">
        <f aca="false">IF(2062=Inputs!$B$176,AO45/Inputs!$B$177*(1-(1+Inputs!$B$177)^-(Inputs!$B$55-2062)),0)</f>
        <v>0</v>
      </c>
      <c r="AO50" s="35" t="n">
        <f aca="false">IF(2063=Inputs!$B$176,AP45/Inputs!$B$177*(1-(1+Inputs!$B$177)^-(Inputs!$B$55-2063)),0)</f>
        <v>0</v>
      </c>
      <c r="AP50" s="35" t="n">
        <f aca="false">IF(2064=Inputs!$B$176,AQ45/Inputs!$B$177*(1-(1+Inputs!$B$177)^-(Inputs!$B$55-2064)),0)</f>
        <v>0</v>
      </c>
      <c r="AQ50" s="35" t="n">
        <f aca="false">IF(2065=Inputs!$B$176,AR45/Inputs!$B$177*(1-(1+Inputs!$B$177)^-(Inputs!$B$55-2065)),0)</f>
        <v>0</v>
      </c>
      <c r="AR50" s="35" t="n">
        <f aca="false">IF(2066=Inputs!$B$176,AS45/Inputs!$B$177*(1-(1+Inputs!$B$177)^-(Inputs!$B$55-2066)),0)</f>
        <v>0</v>
      </c>
      <c r="AS50" s="35" t="n">
        <f aca="false">IF(2067=Inputs!$B$176,AT45/Inputs!$B$177*(1-(1+Inputs!$B$177)^-(Inputs!$B$55-2067)),0)</f>
        <v>0</v>
      </c>
      <c r="AT50" s="35" t="n">
        <f aca="false">IF(2068=Inputs!$B$176,AU45/Inputs!$B$177*(1-(1+Inputs!$B$177)^-(Inputs!$B$55-2068)),0)</f>
        <v>0</v>
      </c>
      <c r="AU50" s="35" t="n">
        <f aca="false">IF(2069=Inputs!$B$176,AV45/Inputs!$B$177*(1-(1+Inputs!$B$177)^-(Inputs!$B$55-2069)),0)</f>
        <v>0</v>
      </c>
      <c r="AV50" s="35" t="n">
        <f aca="false">IF(2070=Inputs!$B$176,AW45/Inputs!$B$177*(1-(1+Inputs!$B$177)^-(Inputs!$B$55-2070)),0)</f>
        <v>0</v>
      </c>
      <c r="AW50" s="35" t="n">
        <f aca="false">IF(2071=Inputs!$B$176,AX45/Inputs!$B$177*(1-(1+Inputs!$B$177)^-(Inputs!$B$55-2071)),0)</f>
        <v>0</v>
      </c>
      <c r="AX50" s="35" t="n">
        <f aca="false">IF(2072=Inputs!$B$176,AY45/Inputs!$B$177*(1-(1+Inputs!$B$177)^-(Inputs!$B$55-2072)),0)</f>
        <v>0</v>
      </c>
      <c r="AY50" s="35" t="n">
        <f aca="false">IF(2073=Inputs!$B$176,AZ45/Inputs!$B$177*(1-(1+Inputs!$B$177)^-(Inputs!$B$55-2073)),0)</f>
        <v>0</v>
      </c>
      <c r="AZ50" s="35" t="n">
        <f aca="false">IF(2074=Inputs!$B$176,AZ45/Inputs!$B$177*(1-(1+Inputs!$B$177)^-(Inputs!$B$55-2074)),0)</f>
        <v>0</v>
      </c>
    </row>
    <row r="51" customFormat="false" ht="15" hidden="false" customHeight="false" outlineLevel="0" collapsed="false">
      <c r="A51" s="3" t="s">
        <v>157</v>
      </c>
      <c r="C51" s="38" t="n">
        <f aca="false">SUM(D51:AZ51)</f>
        <v>971.576177947906</v>
      </c>
      <c r="D51" s="38" t="n">
        <f aca="false">IF(2026&gt;Inputs!$B$176,0,D48+D50)</f>
        <v>-6.86497809739291</v>
      </c>
      <c r="E51" s="38" t="n">
        <f aca="false">IF(2027&gt;Inputs!$B$176,0,E48+E50)</f>
        <v>-56.631564849179</v>
      </c>
      <c r="F51" s="38" t="n">
        <f aca="false">IF(2028&gt;Inputs!$B$176,0,F48+F50)</f>
        <v>-69.495699651528</v>
      </c>
      <c r="G51" s="38" t="n">
        <f aca="false">IF(2029&gt;Inputs!$B$176,0,G48+G50)</f>
        <v>23.0488171153561</v>
      </c>
      <c r="H51" s="38" t="n">
        <f aca="false">IF(2030&gt;Inputs!$B$176,0,H48+H50)</f>
        <v>25.2376495552299</v>
      </c>
      <c r="I51" s="38" t="n">
        <f aca="false">IF(2031&gt;Inputs!$B$176,0,I48+I50)</f>
        <v>26.7549363061006</v>
      </c>
      <c r="J51" s="38" t="n">
        <f aca="false">IF(2032&gt;Inputs!$B$176,0,J48+J50)</f>
        <v>30.160939725743</v>
      </c>
      <c r="K51" s="38" t="n">
        <f aca="false">IF(2033&gt;Inputs!$B$176,0,K48+K50)</f>
        <v>33.7869382308765</v>
      </c>
      <c r="L51" s="38" t="n">
        <f aca="false">IF(2034&gt;Inputs!$B$176,0,L48+L50)</f>
        <v>37.9992861986384</v>
      </c>
      <c r="M51" s="38" t="n">
        <f aca="false">IF(2035&gt;Inputs!$B$176,0,M48+M50)</f>
        <v>42.6457538655943</v>
      </c>
      <c r="N51" s="38" t="n">
        <f aca="false">IF(2036&gt;Inputs!$B$176,0,N48+N50)</f>
        <v>46.4767272242241</v>
      </c>
      <c r="O51" s="38" t="n">
        <f aca="false">IF(2037&gt;Inputs!$B$176,0,O48+O50)</f>
        <v>50.2312079168196</v>
      </c>
      <c r="P51" s="38" t="n">
        <f aca="false">IF(2038&gt;Inputs!$B$176,0,P48+P50)</f>
        <v>53.9379331267301</v>
      </c>
      <c r="Q51" s="38" t="n">
        <f aca="false">IF(2039&gt;Inputs!$B$176,0,Q48+Q50)</f>
        <v>57.9767954668883</v>
      </c>
      <c r="R51" s="38" t="n">
        <f aca="false">IF(2040&gt;Inputs!$B$176,0,R48+R50)</f>
        <v>676.311435813805</v>
      </c>
      <c r="S51" s="38" t="n">
        <f aca="false">IF(2041&gt;Inputs!$B$176,0,S48+S50)</f>
        <v>0</v>
      </c>
      <c r="T51" s="38" t="n">
        <f aca="false">IF(2042&gt;Inputs!$B$176,0,T48+T50)</f>
        <v>0</v>
      </c>
      <c r="U51" s="38" t="n">
        <f aca="false">IF(2043&gt;Inputs!$B$176,0,U48+U50)</f>
        <v>0</v>
      </c>
      <c r="V51" s="38" t="n">
        <f aca="false">IF(2044&gt;Inputs!$B$176,0,V48+V50)</f>
        <v>0</v>
      </c>
      <c r="W51" s="38" t="n">
        <f aca="false">IF(2045&gt;Inputs!$B$176,0,W48+W50)</f>
        <v>0</v>
      </c>
      <c r="X51" s="38" t="n">
        <f aca="false">IF(2046&gt;Inputs!$B$176,0,X48+X50)</f>
        <v>0</v>
      </c>
      <c r="Y51" s="38" t="n">
        <f aca="false">IF(2047&gt;Inputs!$B$176,0,Y48+Y50)</f>
        <v>0</v>
      </c>
      <c r="Z51" s="38" t="n">
        <f aca="false">IF(2048&gt;Inputs!$B$176,0,Z48+Z50)</f>
        <v>0</v>
      </c>
      <c r="AA51" s="38" t="n">
        <f aca="false">IF(2049&gt;Inputs!$B$176,0,AA48+AA50)</f>
        <v>0</v>
      </c>
      <c r="AB51" s="38" t="n">
        <f aca="false">IF(2050&gt;Inputs!$B$176,0,AB48+AB50)</f>
        <v>0</v>
      </c>
      <c r="AC51" s="38" t="n">
        <f aca="false">IF(2051&gt;Inputs!$B$176,0,AC48+AC50)</f>
        <v>0</v>
      </c>
      <c r="AD51" s="38" t="n">
        <f aca="false">IF(2052&gt;Inputs!$B$176,0,AD48+AD50)</f>
        <v>0</v>
      </c>
      <c r="AE51" s="38" t="n">
        <f aca="false">IF(2053&gt;Inputs!$B$176,0,AE48+AE50)</f>
        <v>0</v>
      </c>
      <c r="AF51" s="38" t="n">
        <f aca="false">IF(2054&gt;Inputs!$B$176,0,AF48+AF50)</f>
        <v>0</v>
      </c>
      <c r="AG51" s="38" t="n">
        <f aca="false">IF(2055&gt;Inputs!$B$176,0,AG48+AG50)</f>
        <v>0</v>
      </c>
      <c r="AH51" s="38" t="n">
        <f aca="false">IF(2056&gt;Inputs!$B$176,0,AH48+AH50)</f>
        <v>0</v>
      </c>
      <c r="AI51" s="38" t="n">
        <f aca="false">IF(2057&gt;Inputs!$B$176,0,AI48+AI50)</f>
        <v>0</v>
      </c>
      <c r="AJ51" s="38" t="n">
        <f aca="false">IF(2058&gt;Inputs!$B$176,0,AJ48+AJ50)</f>
        <v>0</v>
      </c>
      <c r="AK51" s="38" t="n">
        <f aca="false">IF(2059&gt;Inputs!$B$176,0,AK48+AK50)</f>
        <v>0</v>
      </c>
      <c r="AL51" s="38" t="n">
        <f aca="false">IF(2060&gt;Inputs!$B$176,0,AL48+AL50)</f>
        <v>0</v>
      </c>
      <c r="AM51" s="38" t="n">
        <f aca="false">IF(2061&gt;Inputs!$B$176,0,AM48+AM50)</f>
        <v>0</v>
      </c>
      <c r="AN51" s="38" t="n">
        <f aca="false">IF(2062&gt;Inputs!$B$176,0,AN48+AN50)</f>
        <v>0</v>
      </c>
      <c r="AO51" s="38" t="n">
        <f aca="false">IF(2063&gt;Inputs!$B$176,0,AO48+AO50)</f>
        <v>0</v>
      </c>
      <c r="AP51" s="38" t="n">
        <f aca="false">IF(2064&gt;Inputs!$B$176,0,AP48+AP50)</f>
        <v>0</v>
      </c>
      <c r="AQ51" s="38" t="n">
        <f aca="false">IF(2065&gt;Inputs!$B$176,0,AQ48+AQ50)</f>
        <v>0</v>
      </c>
      <c r="AR51" s="38" t="n">
        <f aca="false">IF(2066&gt;Inputs!$B$176,0,AR48+AR50)</f>
        <v>0</v>
      </c>
      <c r="AS51" s="38" t="n">
        <f aca="false">IF(2067&gt;Inputs!$B$176,0,AS48+AS50)</f>
        <v>0</v>
      </c>
      <c r="AT51" s="38" t="n">
        <f aca="false">IF(2068&gt;Inputs!$B$176,0,AT48+AT50)</f>
        <v>0</v>
      </c>
      <c r="AU51" s="38" t="n">
        <f aca="false">IF(2069&gt;Inputs!$B$176,0,AU48+AU50)</f>
        <v>0</v>
      </c>
      <c r="AV51" s="38" t="n">
        <f aca="false">IF(2070&gt;Inputs!$B$176,0,AV48+AV50)</f>
        <v>0</v>
      </c>
      <c r="AW51" s="38" t="n">
        <f aca="false">IF(2071&gt;Inputs!$B$176,0,AW48+AW50)</f>
        <v>0</v>
      </c>
      <c r="AX51" s="38" t="n">
        <f aca="false">IF(2072&gt;Inputs!$B$176,0,AX48+AX50)</f>
        <v>0</v>
      </c>
      <c r="AY51" s="38" t="n">
        <f aca="false">IF(2073&gt;Inputs!$B$176,0,AY48+AY50)</f>
        <v>0</v>
      </c>
      <c r="AZ51" s="38" t="n">
        <f aca="false">IF(2074&gt;Inputs!$B$176,0,AZ48+AZ50)</f>
        <v>0</v>
      </c>
    </row>
    <row r="53" customFormat="false" ht="15" hidden="false" customHeight="false" outlineLevel="0" collapsed="false">
      <c r="A53" s="32" t="s">
        <v>158</v>
      </c>
      <c r="B53" s="33"/>
      <c r="C53" s="33"/>
    </row>
    <row r="54" customFormat="false" ht="15" hidden="false" customHeight="false" outlineLevel="0" collapsed="false">
      <c r="A54" s="3" t="s">
        <v>159</v>
      </c>
      <c r="C54" s="38" t="n">
        <f aca="false">IFERROR(C22,0)</f>
        <v>134.577813870086</v>
      </c>
    </row>
    <row r="55" customFormat="false" ht="15" hidden="false" customHeight="false" outlineLevel="0" collapsed="false">
      <c r="A55" s="3" t="s">
        <v>160</v>
      </c>
      <c r="C55" s="38" t="n">
        <f aca="false">IFERROR(J45,0)</f>
        <v>30.160939725743</v>
      </c>
    </row>
    <row r="56" customFormat="false" ht="15" hidden="false" customHeight="false" outlineLevel="0" collapsed="false">
      <c r="A56" s="3" t="s">
        <v>161</v>
      </c>
      <c r="C56" s="42" t="n">
        <f aca="false">IFERROR(IF(J32=0,0,J45/J32),0)</f>
        <v>0.239705461758339</v>
      </c>
    </row>
    <row r="57" customFormat="false" ht="15" hidden="false" customHeight="false" outlineLevel="0" collapsed="false">
      <c r="A57" s="3" t="s">
        <v>162</v>
      </c>
      <c r="C57" s="42" t="n">
        <f aca="false">IFERROR(J45/C22,0)</f>
        <v>0.224115244990223</v>
      </c>
    </row>
    <row r="58" customFormat="false" ht="15" hidden="false" customHeight="false" outlineLevel="0" collapsed="false">
      <c r="A58" s="3" t="s">
        <v>163</v>
      </c>
      <c r="C58" s="42" t="n">
        <f aca="false">IFERROR(IRR(D48:AZ48),0)</f>
        <v>0.237260209864076</v>
      </c>
    </row>
    <row r="59" customFormat="false" ht="15" hidden="false" customHeight="false" outlineLevel="0" collapsed="false">
      <c r="A59" s="3" t="s">
        <v>164</v>
      </c>
      <c r="C59" s="42" t="n">
        <f aca="false">IFERROR(IRR(D51:AZ51),0)</f>
        <v>0.262385323134446</v>
      </c>
    </row>
    <row r="60" customFormat="false" ht="15" hidden="false" customHeight="false" outlineLevel="0" collapsed="false">
      <c r="A60" s="3" t="s">
        <v>165</v>
      </c>
      <c r="C60" s="43" t="str">
        <f aca="false">IFERROR(INDEX(D4:AZ4,MATCH(TRUE(),INDEX(D49:AZ49&gt;0,0),0)),0)</f>
        <v>2033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44" t="s">
        <v>166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customFormat="false" ht="15" hidden="false" customHeight="false" outlineLevel="0" collapsed="false">
      <c r="A2" s="46" t="s">
        <v>167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customFormat="false" ht="15" hidden="false" customHeight="false" outlineLevel="0" collapsed="false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customFormat="false" ht="15" hidden="false" customHeight="false" outlineLevel="0" collapsed="false">
      <c r="A4" s="48" t="s">
        <v>168</v>
      </c>
      <c r="B4" s="49"/>
      <c r="C4" s="49"/>
      <c r="D4" s="49"/>
      <c r="E4" s="47"/>
      <c r="F4" s="47"/>
      <c r="G4" s="47"/>
      <c r="H4" s="47"/>
      <c r="I4" s="47"/>
      <c r="J4" s="47"/>
      <c r="K4" s="47"/>
    </row>
    <row r="5" customFormat="false" ht="15" hidden="false" customHeight="false" outlineLevel="0" collapsed="false">
      <c r="A5" s="50" t="s">
        <v>169</v>
      </c>
      <c r="B5" s="51" t="n">
        <v>1</v>
      </c>
      <c r="C5" s="52" t="s">
        <v>170</v>
      </c>
      <c r="D5" s="52" t="s">
        <v>171</v>
      </c>
      <c r="E5" s="47"/>
      <c r="F5" s="47"/>
      <c r="G5" s="47"/>
      <c r="H5" s="47"/>
      <c r="I5" s="47"/>
      <c r="J5" s="47"/>
      <c r="K5" s="47"/>
    </row>
    <row r="6" customFormat="false" ht="15" hidden="false" customHeight="false" outlineLevel="0" collapsed="false">
      <c r="A6" s="50" t="s">
        <v>172</v>
      </c>
      <c r="B6" s="51" t="n">
        <v>1</v>
      </c>
      <c r="C6" s="52" t="s">
        <v>170</v>
      </c>
      <c r="D6" s="52" t="s">
        <v>173</v>
      </c>
      <c r="E6" s="47"/>
      <c r="F6" s="47"/>
      <c r="G6" s="47"/>
      <c r="H6" s="47"/>
      <c r="I6" s="47"/>
      <c r="J6" s="47"/>
      <c r="K6" s="47"/>
    </row>
    <row r="7" customFormat="false" ht="15" hidden="false" customHeight="false" outlineLevel="0" collapsed="false">
      <c r="A7" s="50" t="s">
        <v>174</v>
      </c>
      <c r="B7" s="51" t="n">
        <v>1</v>
      </c>
      <c r="C7" s="52" t="s">
        <v>170</v>
      </c>
      <c r="D7" s="52" t="s">
        <v>173</v>
      </c>
      <c r="E7" s="47"/>
      <c r="F7" s="47"/>
      <c r="G7" s="47"/>
      <c r="H7" s="47"/>
      <c r="I7" s="47"/>
      <c r="J7" s="47"/>
      <c r="K7" s="47"/>
    </row>
    <row r="8" customFormat="false" ht="15" hidden="false" customHeight="false" outlineLevel="0" collapsed="false">
      <c r="A8" s="50" t="s">
        <v>175</v>
      </c>
      <c r="B8" s="51" t="n">
        <v>1</v>
      </c>
      <c r="C8" s="52" t="s">
        <v>170</v>
      </c>
      <c r="D8" s="52" t="s">
        <v>173</v>
      </c>
      <c r="E8" s="47"/>
      <c r="F8" s="47"/>
      <c r="G8" s="47"/>
      <c r="H8" s="47"/>
      <c r="I8" s="47"/>
      <c r="J8" s="47"/>
      <c r="K8" s="47"/>
    </row>
    <row r="9" customFormat="false" ht="15" hidden="false" customHeight="false" outlineLevel="0" collapsed="false">
      <c r="A9" s="50" t="s">
        <v>176</v>
      </c>
      <c r="B9" s="53" t="n">
        <v>0</v>
      </c>
      <c r="C9" s="52" t="s">
        <v>177</v>
      </c>
      <c r="D9" s="52" t="s">
        <v>178</v>
      </c>
      <c r="E9" s="47"/>
      <c r="F9" s="47"/>
      <c r="G9" s="47"/>
      <c r="H9" s="47"/>
      <c r="I9" s="47"/>
      <c r="J9" s="47"/>
      <c r="K9" s="47"/>
    </row>
    <row r="10" customFormat="false" ht="15" hidden="false" customHeight="false" outlineLevel="0" collapsed="false">
      <c r="A10" s="48" t="s">
        <v>179</v>
      </c>
      <c r="B10" s="49"/>
      <c r="C10" s="49"/>
      <c r="D10" s="49"/>
      <c r="E10" s="47"/>
      <c r="F10" s="47"/>
      <c r="G10" s="47"/>
      <c r="H10" s="47"/>
      <c r="I10" s="47"/>
      <c r="J10" s="47"/>
      <c r="K10" s="47"/>
    </row>
    <row r="11" customFormat="false" ht="15" hidden="false" customHeight="false" outlineLevel="0" collapsed="false">
      <c r="A11" s="50" t="s">
        <v>180</v>
      </c>
      <c r="B11" s="54" t="n">
        <v>0.64</v>
      </c>
      <c r="C11" s="52" t="s">
        <v>181</v>
      </c>
      <c r="D11" s="52" t="s">
        <v>182</v>
      </c>
      <c r="E11" s="47"/>
      <c r="F11" s="47"/>
      <c r="G11" s="47"/>
      <c r="H11" s="47"/>
      <c r="I11" s="47"/>
      <c r="J11" s="47"/>
      <c r="K11" s="47"/>
    </row>
    <row r="12" customFormat="false" ht="15" hidden="false" customHeight="false" outlineLevel="0" collapsed="false">
      <c r="A12" s="50" t="s">
        <v>183</v>
      </c>
      <c r="B12" s="54" t="n">
        <v>0.36</v>
      </c>
      <c r="C12" s="52" t="s">
        <v>181</v>
      </c>
      <c r="D12" s="52" t="s">
        <v>184</v>
      </c>
      <c r="E12" s="47"/>
      <c r="F12" s="47"/>
      <c r="G12" s="47"/>
      <c r="H12" s="47"/>
      <c r="I12" s="47"/>
      <c r="J12" s="47"/>
      <c r="K12" s="47"/>
    </row>
    <row r="13" customFormat="false" ht="15" hidden="false" customHeight="false" outlineLevel="0" collapsed="false">
      <c r="A13" s="50" t="s">
        <v>185</v>
      </c>
      <c r="B13" s="54" t="n">
        <v>0.05</v>
      </c>
      <c r="C13" s="52" t="s">
        <v>181</v>
      </c>
      <c r="D13" s="52" t="s">
        <v>186</v>
      </c>
      <c r="E13" s="47"/>
      <c r="F13" s="47"/>
      <c r="G13" s="47"/>
      <c r="H13" s="47"/>
      <c r="I13" s="47"/>
      <c r="J13" s="47"/>
      <c r="K13" s="47"/>
    </row>
    <row r="14" customFormat="false" ht="15" hidden="false" customHeight="false" outlineLevel="0" collapsed="false">
      <c r="A14" s="50" t="s">
        <v>187</v>
      </c>
      <c r="B14" s="55" t="n">
        <v>0</v>
      </c>
      <c r="C14" s="52" t="s">
        <v>188</v>
      </c>
      <c r="D14" s="52" t="s">
        <v>189</v>
      </c>
      <c r="E14" s="47"/>
      <c r="F14" s="47"/>
      <c r="G14" s="47"/>
      <c r="H14" s="47"/>
      <c r="I14" s="47"/>
      <c r="J14" s="47"/>
      <c r="K14" s="47"/>
    </row>
    <row r="15" customFormat="false" ht="15" hidden="false" customHeight="false" outlineLevel="0" collapsed="false">
      <c r="A15" s="50" t="s">
        <v>190</v>
      </c>
      <c r="B15" s="55" t="n">
        <v>0</v>
      </c>
      <c r="C15" s="52" t="s">
        <v>188</v>
      </c>
      <c r="D15" s="52" t="s">
        <v>191</v>
      </c>
      <c r="E15" s="47"/>
      <c r="F15" s="47"/>
      <c r="G15" s="47"/>
      <c r="H15" s="47"/>
      <c r="I15" s="47"/>
      <c r="J15" s="47"/>
      <c r="K15" s="47"/>
    </row>
    <row r="16" customFormat="false" ht="15" hidden="false" customHeight="false" outlineLevel="0" collapsed="false">
      <c r="A16" s="50" t="s">
        <v>192</v>
      </c>
      <c r="B16" s="55" t="n">
        <v>0</v>
      </c>
      <c r="C16" s="52" t="s">
        <v>188</v>
      </c>
      <c r="D16" s="52" t="s">
        <v>193</v>
      </c>
      <c r="E16" s="47"/>
      <c r="F16" s="47"/>
      <c r="G16" s="47"/>
      <c r="H16" s="47"/>
      <c r="I16" s="47"/>
      <c r="J16" s="47"/>
      <c r="K16" s="47"/>
    </row>
    <row r="17" customFormat="false" ht="15" hidden="false" customHeight="false" outlineLevel="0" collapsed="false">
      <c r="A17" s="50" t="s">
        <v>194</v>
      </c>
      <c r="B17" s="55" t="n">
        <v>0</v>
      </c>
      <c r="C17" s="52" t="s">
        <v>188</v>
      </c>
      <c r="D17" s="52" t="s">
        <v>195</v>
      </c>
      <c r="E17" s="47"/>
      <c r="F17" s="47"/>
      <c r="G17" s="47"/>
      <c r="H17" s="47"/>
      <c r="I17" s="47"/>
      <c r="J17" s="47"/>
      <c r="K17" s="47"/>
    </row>
    <row r="18" customFormat="false" ht="15" hidden="false" customHeight="false" outlineLevel="0" collapsed="false">
      <c r="A18" s="50" t="s">
        <v>196</v>
      </c>
      <c r="B18" s="55" t="n">
        <v>1</v>
      </c>
      <c r="C18" s="52" t="s">
        <v>188</v>
      </c>
      <c r="D18" s="52" t="s">
        <v>197</v>
      </c>
      <c r="E18" s="47"/>
      <c r="F18" s="47"/>
      <c r="G18" s="47"/>
      <c r="H18" s="47"/>
      <c r="I18" s="47"/>
      <c r="J18" s="47"/>
      <c r="K18" s="47"/>
    </row>
    <row r="19" customFormat="false" ht="15" hidden="false" customHeight="false" outlineLevel="0" collapsed="false">
      <c r="A19" s="50" t="s">
        <v>198</v>
      </c>
      <c r="B19" s="55" t="n">
        <v>1</v>
      </c>
      <c r="C19" s="52" t="s">
        <v>188</v>
      </c>
      <c r="D19" s="52" t="s">
        <v>199</v>
      </c>
      <c r="E19" s="47"/>
      <c r="F19" s="47"/>
      <c r="G19" s="47"/>
      <c r="H19" s="47"/>
      <c r="I19" s="47"/>
      <c r="J19" s="47"/>
      <c r="K19" s="47"/>
    </row>
    <row r="20" customFormat="false" ht="15" hidden="false" customHeight="false" outlineLevel="0" collapsed="false">
      <c r="A20" s="50" t="s">
        <v>200</v>
      </c>
      <c r="B20" s="56" t="n">
        <v>0</v>
      </c>
      <c r="C20" s="52" t="s">
        <v>201</v>
      </c>
      <c r="D20" s="52" t="s">
        <v>202</v>
      </c>
      <c r="E20" s="47"/>
      <c r="F20" s="47"/>
      <c r="G20" s="47"/>
      <c r="H20" s="47"/>
      <c r="I20" s="47"/>
      <c r="J20" s="47"/>
      <c r="K20" s="47"/>
    </row>
    <row r="21" customFormat="false" ht="15" hidden="false" customHeight="false" outlineLevel="0" collapsed="false">
      <c r="A21" s="50" t="s">
        <v>203</v>
      </c>
      <c r="B21" s="56" t="n">
        <v>125.825</v>
      </c>
      <c r="C21" s="52" t="s">
        <v>201</v>
      </c>
      <c r="D21" s="52" t="s">
        <v>184</v>
      </c>
      <c r="E21" s="47"/>
      <c r="F21" s="47"/>
      <c r="G21" s="47"/>
      <c r="H21" s="47"/>
      <c r="I21" s="47"/>
      <c r="J21" s="47"/>
      <c r="K21" s="47"/>
    </row>
    <row r="22" customFormat="false" ht="15" hidden="false" customHeight="false" outlineLevel="0" collapsed="false">
      <c r="A22" s="50" t="s">
        <v>204</v>
      </c>
      <c r="B22" s="56" t="n">
        <v>58.6685059626762</v>
      </c>
      <c r="C22" s="52" t="s">
        <v>201</v>
      </c>
      <c r="D22" s="52" t="s">
        <v>184</v>
      </c>
      <c r="E22" s="47"/>
      <c r="F22" s="47"/>
      <c r="G22" s="47"/>
      <c r="H22" s="47"/>
      <c r="I22" s="47"/>
      <c r="J22" s="47"/>
      <c r="K22" s="47"/>
    </row>
    <row r="23" customFormat="false" ht="15" hidden="false" customHeight="false" outlineLevel="0" collapsed="false">
      <c r="A23" s="50" t="s">
        <v>205</v>
      </c>
      <c r="B23" s="57" t="n">
        <v>10</v>
      </c>
      <c r="C23" s="52" t="s">
        <v>201</v>
      </c>
      <c r="D23" s="52" t="s">
        <v>206</v>
      </c>
      <c r="E23" s="47"/>
      <c r="F23" s="47"/>
      <c r="G23" s="47"/>
      <c r="H23" s="47"/>
      <c r="I23" s="47"/>
      <c r="J23" s="47"/>
      <c r="K23" s="47"/>
    </row>
    <row r="24" customFormat="false" ht="15" hidden="false" customHeight="false" outlineLevel="0" collapsed="false">
      <c r="A24" s="48" t="s">
        <v>207</v>
      </c>
      <c r="B24" s="49"/>
      <c r="C24" s="49"/>
      <c r="D24" s="49"/>
      <c r="E24" s="47"/>
      <c r="F24" s="47"/>
      <c r="G24" s="47"/>
      <c r="H24" s="47"/>
      <c r="I24" s="47"/>
      <c r="J24" s="47"/>
      <c r="K24" s="47"/>
    </row>
    <row r="25" customFormat="false" ht="15" hidden="false" customHeight="false" outlineLevel="0" collapsed="false">
      <c r="A25" s="58" t="s">
        <v>208</v>
      </c>
      <c r="B25" s="58" t="s">
        <v>31</v>
      </c>
      <c r="C25" s="58" t="s">
        <v>32</v>
      </c>
      <c r="D25" s="58" t="s">
        <v>33</v>
      </c>
      <c r="E25" s="47"/>
      <c r="F25" s="47"/>
      <c r="G25" s="47"/>
      <c r="H25" s="47"/>
      <c r="I25" s="47"/>
      <c r="J25" s="47"/>
      <c r="K25" s="47"/>
    </row>
    <row r="26" customFormat="false" ht="15" hidden="false" customHeight="false" outlineLevel="0" collapsed="false">
      <c r="A26" s="50" t="s">
        <v>115</v>
      </c>
      <c r="B26" s="57" t="n">
        <v>30</v>
      </c>
      <c r="C26" s="57" t="n">
        <v>100</v>
      </c>
      <c r="D26" s="57" t="n">
        <v>0</v>
      </c>
      <c r="E26" s="47"/>
      <c r="F26" s="47"/>
      <c r="G26" s="47"/>
      <c r="H26" s="47"/>
      <c r="I26" s="47"/>
      <c r="J26" s="47"/>
      <c r="K26" s="47"/>
    </row>
    <row r="27" customFormat="false" ht="15" hidden="false" customHeight="false" outlineLevel="0" collapsed="false">
      <c r="A27" s="50" t="s">
        <v>116</v>
      </c>
      <c r="B27" s="57" t="n">
        <v>0</v>
      </c>
      <c r="C27" s="57" t="n">
        <v>66.1</v>
      </c>
      <c r="D27" s="57" t="n">
        <v>53.9</v>
      </c>
      <c r="E27" s="47"/>
      <c r="F27" s="47"/>
      <c r="G27" s="47"/>
      <c r="H27" s="47"/>
      <c r="I27" s="47"/>
      <c r="J27" s="47"/>
      <c r="K27" s="47"/>
    </row>
    <row r="28" customFormat="false" ht="15" hidden="false" customHeight="false" outlineLevel="0" collapsed="false">
      <c r="A28" s="50" t="s">
        <v>117</v>
      </c>
      <c r="B28" s="57" t="n">
        <v>0</v>
      </c>
      <c r="C28" s="57" t="n">
        <v>44.2</v>
      </c>
      <c r="D28" s="57" t="n">
        <v>25.8</v>
      </c>
      <c r="E28" s="47"/>
      <c r="F28" s="47"/>
      <c r="G28" s="47"/>
      <c r="H28" s="47"/>
      <c r="I28" s="47"/>
      <c r="J28" s="47"/>
      <c r="K28" s="47"/>
    </row>
    <row r="29" customFormat="false" ht="15" hidden="false" customHeight="false" outlineLevel="0" collapsed="false">
      <c r="A29" s="50" t="s">
        <v>118</v>
      </c>
      <c r="B29" s="57" t="n">
        <v>2.7</v>
      </c>
      <c r="C29" s="57" t="n">
        <v>31.6</v>
      </c>
      <c r="D29" s="57" t="n">
        <v>30.8</v>
      </c>
      <c r="E29" s="47"/>
      <c r="F29" s="47"/>
      <c r="G29" s="47"/>
      <c r="H29" s="47"/>
      <c r="I29" s="47"/>
      <c r="J29" s="47"/>
      <c r="K29" s="47"/>
    </row>
    <row r="30" customFormat="false" ht="15" hidden="false" customHeight="false" outlineLevel="0" collapsed="false">
      <c r="A30" s="50" t="s">
        <v>209</v>
      </c>
      <c r="B30" s="57" t="n">
        <v>0</v>
      </c>
      <c r="C30" s="57" t="n">
        <v>0</v>
      </c>
      <c r="D30" s="57" t="n">
        <v>50</v>
      </c>
      <c r="E30" s="47"/>
      <c r="F30" s="47"/>
      <c r="G30" s="47"/>
      <c r="H30" s="47"/>
      <c r="I30" s="47"/>
      <c r="J30" s="47"/>
      <c r="K30" s="47"/>
    </row>
    <row r="31" customFormat="false" ht="15" hidden="false" customHeight="false" outlineLevel="0" collapsed="false">
      <c r="A31" s="50" t="s">
        <v>120</v>
      </c>
      <c r="B31" s="57" t="n">
        <v>0</v>
      </c>
      <c r="C31" s="57" t="n">
        <v>21.8</v>
      </c>
      <c r="D31" s="57" t="n">
        <v>38.2</v>
      </c>
      <c r="E31" s="47"/>
      <c r="F31" s="47"/>
      <c r="G31" s="47"/>
      <c r="H31" s="47"/>
      <c r="I31" s="47"/>
      <c r="J31" s="47"/>
      <c r="K31" s="47"/>
    </row>
    <row r="32" customFormat="false" ht="15" hidden="false" customHeight="false" outlineLevel="0" collapsed="false">
      <c r="A32" s="50" t="s">
        <v>121</v>
      </c>
      <c r="B32" s="57" t="n">
        <v>1.3</v>
      </c>
      <c r="C32" s="57" t="n">
        <v>7.4</v>
      </c>
      <c r="D32" s="57" t="n">
        <v>2.3</v>
      </c>
      <c r="E32" s="47"/>
      <c r="F32" s="47"/>
      <c r="G32" s="47"/>
      <c r="H32" s="47"/>
      <c r="I32" s="47"/>
      <c r="J32" s="47"/>
      <c r="K32" s="47"/>
    </row>
    <row r="33" customFormat="false" ht="15" hidden="false" customHeight="false" outlineLevel="0" collapsed="false">
      <c r="A33" s="50" t="s">
        <v>122</v>
      </c>
      <c r="B33" s="57" t="n">
        <v>0.8</v>
      </c>
      <c r="C33" s="57" t="n">
        <v>2</v>
      </c>
      <c r="D33" s="57" t="n">
        <v>1.2</v>
      </c>
      <c r="E33" s="47"/>
      <c r="F33" s="47"/>
      <c r="G33" s="47"/>
      <c r="H33" s="47"/>
      <c r="I33" s="47"/>
      <c r="J33" s="47"/>
      <c r="K33" s="47"/>
    </row>
    <row r="34" customFormat="false" ht="15" hidden="false" customHeight="false" outlineLevel="0" collapsed="false">
      <c r="A34" s="50" t="s">
        <v>123</v>
      </c>
      <c r="B34" s="57" t="n">
        <v>11.8</v>
      </c>
      <c r="C34" s="57" t="n">
        <v>3.2</v>
      </c>
      <c r="D34" s="57" t="n">
        <v>0</v>
      </c>
      <c r="E34" s="47"/>
      <c r="F34" s="47"/>
      <c r="G34" s="47"/>
      <c r="H34" s="47"/>
      <c r="I34" s="47"/>
      <c r="J34" s="47"/>
      <c r="K34" s="47"/>
    </row>
    <row r="35" customFormat="false" ht="15" hidden="false" customHeight="false" outlineLevel="0" collapsed="false">
      <c r="A35" s="50" t="s">
        <v>124</v>
      </c>
      <c r="B35" s="57" t="n">
        <v>1.7</v>
      </c>
      <c r="C35" s="57" t="n">
        <v>4</v>
      </c>
      <c r="D35" s="57" t="n">
        <v>2.3</v>
      </c>
      <c r="E35" s="47"/>
      <c r="F35" s="47"/>
      <c r="G35" s="47"/>
      <c r="H35" s="47"/>
      <c r="I35" s="47"/>
      <c r="J35" s="47"/>
      <c r="K35" s="47"/>
    </row>
    <row r="36" customFormat="false" ht="15" hidden="false" customHeight="false" outlineLevel="0" collapsed="false">
      <c r="A36" s="50" t="s">
        <v>125</v>
      </c>
      <c r="B36" s="57" t="n">
        <v>4.2</v>
      </c>
      <c r="C36" s="57" t="n">
        <v>0.8</v>
      </c>
      <c r="D36" s="57" t="n">
        <v>0</v>
      </c>
      <c r="E36" s="47"/>
      <c r="F36" s="47"/>
      <c r="G36" s="47"/>
      <c r="H36" s="47"/>
      <c r="I36" s="47"/>
      <c r="J36" s="47"/>
      <c r="K36" s="47"/>
    </row>
    <row r="37" customFormat="false" ht="15" hidden="false" customHeight="false" outlineLevel="0" collapsed="false">
      <c r="A37" s="50" t="s">
        <v>126</v>
      </c>
      <c r="B37" s="57" t="n">
        <v>0</v>
      </c>
      <c r="C37" s="57" t="n">
        <v>0.8</v>
      </c>
      <c r="D37" s="57" t="n">
        <v>6.2</v>
      </c>
      <c r="E37" s="47"/>
      <c r="F37" s="47"/>
      <c r="G37" s="47"/>
      <c r="H37" s="47"/>
      <c r="I37" s="47"/>
      <c r="J37" s="47"/>
      <c r="K37" s="47"/>
    </row>
    <row r="38" customFormat="false" ht="15" hidden="false" customHeight="false" outlineLevel="0" collapsed="false">
      <c r="A38" s="50" t="s">
        <v>127</v>
      </c>
      <c r="B38" s="57" t="n">
        <v>0.9</v>
      </c>
      <c r="C38" s="57" t="n">
        <v>2.2</v>
      </c>
      <c r="D38" s="57" t="n">
        <v>1.9</v>
      </c>
      <c r="E38" s="47"/>
      <c r="F38" s="47"/>
      <c r="G38" s="47"/>
      <c r="H38" s="47"/>
      <c r="I38" s="47"/>
      <c r="J38" s="47"/>
      <c r="K38" s="47"/>
    </row>
    <row r="39" customFormat="false" ht="15" hidden="false" customHeight="false" outlineLevel="0" collapsed="false">
      <c r="A39" s="58" t="s">
        <v>210</v>
      </c>
      <c r="B39" s="59" t="n">
        <f aca="false">SUM(B26:B38)</f>
        <v>53.4</v>
      </c>
      <c r="C39" s="59" t="n">
        <f aca="false">SUM(C26:C38)</f>
        <v>284.1</v>
      </c>
      <c r="D39" s="59" t="n">
        <f aca="false">SUM(D26:D38)</f>
        <v>212.6</v>
      </c>
      <c r="E39" s="59" t="n">
        <f aca="false">SUM(B39:D39)</f>
        <v>550.1</v>
      </c>
      <c r="F39" s="52" t="s">
        <v>211</v>
      </c>
      <c r="G39" s="47"/>
      <c r="H39" s="47"/>
      <c r="I39" s="47"/>
      <c r="J39" s="47"/>
      <c r="K39" s="47"/>
    </row>
    <row r="40" customFormat="false" ht="15" hidden="false" customHeight="false" outlineLevel="0" collapsed="false">
      <c r="A40" s="50" t="s">
        <v>212</v>
      </c>
      <c r="B40" s="57" t="n">
        <v>71.7</v>
      </c>
      <c r="C40" s="52" t="s">
        <v>201</v>
      </c>
      <c r="D40" s="52" t="s">
        <v>213</v>
      </c>
      <c r="E40" s="47"/>
      <c r="F40" s="47"/>
      <c r="G40" s="47"/>
      <c r="H40" s="47"/>
      <c r="I40" s="47"/>
      <c r="J40" s="47"/>
      <c r="K40" s="47"/>
    </row>
    <row r="41" customFormat="false" ht="15" hidden="false" customHeight="false" outlineLevel="0" collapsed="false">
      <c r="A41" s="48" t="s">
        <v>214</v>
      </c>
      <c r="B41" s="49"/>
      <c r="C41" s="49"/>
      <c r="D41" s="49"/>
      <c r="E41" s="47"/>
      <c r="F41" s="47"/>
      <c r="G41" s="47"/>
      <c r="H41" s="47"/>
      <c r="I41" s="47"/>
      <c r="J41" s="47"/>
      <c r="K41" s="47"/>
    </row>
    <row r="42" customFormat="false" ht="15" hidden="false" customHeight="false" outlineLevel="0" collapsed="false">
      <c r="A42" s="50" t="s">
        <v>215</v>
      </c>
      <c r="B42" s="57" t="n">
        <v>36.4</v>
      </c>
      <c r="C42" s="52" t="s">
        <v>201</v>
      </c>
      <c r="D42" s="52" t="s">
        <v>216</v>
      </c>
      <c r="E42" s="47"/>
      <c r="F42" s="47"/>
      <c r="G42" s="47"/>
      <c r="H42" s="47"/>
      <c r="I42" s="47"/>
      <c r="J42" s="47"/>
      <c r="K42" s="47"/>
    </row>
    <row r="43" customFormat="false" ht="15" hidden="false" customHeight="false" outlineLevel="0" collapsed="false">
      <c r="A43" s="50" t="s">
        <v>217</v>
      </c>
      <c r="B43" s="54" t="n">
        <v>0.5</v>
      </c>
      <c r="C43" s="52" t="s">
        <v>181</v>
      </c>
      <c r="D43" s="52" t="s">
        <v>218</v>
      </c>
      <c r="E43" s="47"/>
      <c r="F43" s="47"/>
      <c r="G43" s="47"/>
      <c r="H43" s="47"/>
      <c r="I43" s="47"/>
      <c r="J43" s="47"/>
      <c r="K43" s="47"/>
    </row>
    <row r="44" customFormat="false" ht="15" hidden="false" customHeight="false" outlineLevel="0" collapsed="false">
      <c r="A44" s="50" t="s">
        <v>219</v>
      </c>
      <c r="B44" s="54" t="n">
        <v>0.136</v>
      </c>
      <c r="C44" s="52" t="s">
        <v>181</v>
      </c>
      <c r="D44" s="52" t="s">
        <v>220</v>
      </c>
      <c r="E44" s="47"/>
      <c r="F44" s="47"/>
      <c r="G44" s="47"/>
      <c r="H44" s="47"/>
      <c r="I44" s="47"/>
      <c r="J44" s="47"/>
      <c r="K44" s="47"/>
    </row>
    <row r="45" customFormat="false" ht="15" hidden="false" customHeight="false" outlineLevel="0" collapsed="false">
      <c r="A45" s="50" t="s">
        <v>221</v>
      </c>
      <c r="B45" s="57" t="n">
        <v>39.66</v>
      </c>
      <c r="C45" s="52" t="s">
        <v>201</v>
      </c>
      <c r="D45" s="52" t="s">
        <v>222</v>
      </c>
      <c r="E45" s="47"/>
      <c r="F45" s="47"/>
      <c r="G45" s="47"/>
      <c r="H45" s="47"/>
      <c r="I45" s="47"/>
      <c r="J45" s="47"/>
      <c r="K45" s="47"/>
    </row>
    <row r="46" customFormat="false" ht="15" hidden="false" customHeight="false" outlineLevel="0" collapsed="false">
      <c r="A46" s="50" t="s">
        <v>217</v>
      </c>
      <c r="B46" s="54" t="n">
        <v>0.5</v>
      </c>
      <c r="C46" s="52" t="s">
        <v>181</v>
      </c>
      <c r="D46" s="52" t="s">
        <v>218</v>
      </c>
      <c r="E46" s="47"/>
      <c r="F46" s="47"/>
      <c r="G46" s="47"/>
      <c r="H46" s="47"/>
      <c r="I46" s="47"/>
      <c r="J46" s="47"/>
      <c r="K46" s="47"/>
    </row>
    <row r="47" customFormat="false" ht="15" hidden="false" customHeight="false" outlineLevel="0" collapsed="false">
      <c r="A47" s="50" t="s">
        <v>223</v>
      </c>
      <c r="B47" s="54" t="n">
        <v>0.5</v>
      </c>
      <c r="C47" s="52" t="s">
        <v>181</v>
      </c>
      <c r="D47" s="52" t="s">
        <v>224</v>
      </c>
      <c r="E47" s="47"/>
      <c r="F47" s="47"/>
      <c r="G47" s="47"/>
      <c r="H47" s="47"/>
      <c r="I47" s="47"/>
      <c r="J47" s="47"/>
      <c r="K47" s="47"/>
    </row>
    <row r="48" customFormat="false" ht="15" hidden="false" customHeight="false" outlineLevel="0" collapsed="false">
      <c r="A48" s="50" t="s">
        <v>225</v>
      </c>
      <c r="B48" s="57" t="n">
        <v>15</v>
      </c>
      <c r="C48" s="52" t="s">
        <v>201</v>
      </c>
      <c r="D48" s="52" t="s">
        <v>226</v>
      </c>
      <c r="E48" s="47"/>
      <c r="F48" s="47"/>
      <c r="G48" s="47"/>
      <c r="H48" s="47"/>
      <c r="I48" s="47"/>
      <c r="J48" s="47"/>
      <c r="K48" s="47"/>
    </row>
    <row r="49" customFormat="false" ht="15" hidden="false" customHeight="false" outlineLevel="0" collapsed="false">
      <c r="A49" s="50" t="s">
        <v>227</v>
      </c>
      <c r="B49" s="54" t="n">
        <v>0.3333</v>
      </c>
      <c r="C49" s="52" t="s">
        <v>181</v>
      </c>
      <c r="D49" s="52" t="s">
        <v>228</v>
      </c>
      <c r="E49" s="47"/>
      <c r="F49" s="47"/>
      <c r="G49" s="47"/>
      <c r="H49" s="47"/>
      <c r="I49" s="47"/>
      <c r="J49" s="47"/>
      <c r="K49" s="47"/>
    </row>
    <row r="50" customFormat="false" ht="15" hidden="false" customHeight="false" outlineLevel="0" collapsed="false">
      <c r="A50" s="48" t="s">
        <v>229</v>
      </c>
      <c r="B50" s="49"/>
      <c r="C50" s="49"/>
      <c r="D50" s="49"/>
      <c r="E50" s="47"/>
      <c r="F50" s="47"/>
      <c r="G50" s="47"/>
      <c r="H50" s="47"/>
      <c r="I50" s="47"/>
      <c r="J50" s="47"/>
      <c r="K50" s="47"/>
    </row>
    <row r="51" customFormat="false" ht="15" hidden="false" customHeight="false" outlineLevel="0" collapsed="false">
      <c r="A51" s="50" t="s">
        <v>230</v>
      </c>
      <c r="B51" s="60" t="n">
        <v>2028</v>
      </c>
      <c r="C51" s="52" t="s">
        <v>231</v>
      </c>
      <c r="D51" s="52" t="s">
        <v>232</v>
      </c>
      <c r="E51" s="47"/>
      <c r="F51" s="47"/>
      <c r="G51" s="47"/>
      <c r="H51" s="47"/>
      <c r="I51" s="47"/>
      <c r="J51" s="47"/>
      <c r="K51" s="47"/>
    </row>
    <row r="52" customFormat="false" ht="15" hidden="false" customHeight="false" outlineLevel="0" collapsed="false">
      <c r="A52" s="50" t="s">
        <v>233</v>
      </c>
      <c r="B52" s="54" t="n">
        <v>0.25</v>
      </c>
      <c r="C52" s="52" t="s">
        <v>181</v>
      </c>
      <c r="D52" s="52" t="s">
        <v>234</v>
      </c>
      <c r="E52" s="47"/>
      <c r="F52" s="47"/>
      <c r="G52" s="47"/>
      <c r="H52" s="47"/>
      <c r="I52" s="47"/>
      <c r="J52" s="47"/>
      <c r="K52" s="47"/>
    </row>
    <row r="53" customFormat="false" ht="15" hidden="false" customHeight="false" outlineLevel="0" collapsed="false">
      <c r="A53" s="50" t="s">
        <v>235</v>
      </c>
      <c r="B53" s="60" t="n">
        <v>2029</v>
      </c>
      <c r="C53" s="52" t="s">
        <v>231</v>
      </c>
      <c r="D53" s="52" t="s">
        <v>236</v>
      </c>
      <c r="E53" s="47"/>
      <c r="F53" s="47"/>
      <c r="G53" s="47"/>
      <c r="H53" s="47"/>
      <c r="I53" s="47"/>
      <c r="J53" s="47"/>
      <c r="K53" s="47"/>
    </row>
    <row r="54" customFormat="false" ht="15" hidden="false" customHeight="false" outlineLevel="0" collapsed="false">
      <c r="A54" s="50" t="s">
        <v>237</v>
      </c>
      <c r="B54" s="54" t="n">
        <v>0.5</v>
      </c>
      <c r="C54" s="52" t="s">
        <v>181</v>
      </c>
      <c r="D54" s="52" t="s">
        <v>238</v>
      </c>
      <c r="E54" s="47"/>
      <c r="F54" s="47"/>
      <c r="G54" s="47"/>
      <c r="H54" s="47"/>
      <c r="I54" s="47"/>
      <c r="J54" s="47"/>
      <c r="K54" s="47"/>
    </row>
    <row r="55" customFormat="false" ht="15" hidden="false" customHeight="false" outlineLevel="0" collapsed="false">
      <c r="A55" s="50" t="s">
        <v>239</v>
      </c>
      <c r="B55" s="60" t="n">
        <v>2074</v>
      </c>
      <c r="C55" s="52" t="s">
        <v>231</v>
      </c>
      <c r="D55" s="52" t="s">
        <v>240</v>
      </c>
      <c r="E55" s="47"/>
      <c r="F55" s="47"/>
      <c r="G55" s="47"/>
      <c r="H55" s="47"/>
      <c r="I55" s="47"/>
      <c r="J55" s="47"/>
      <c r="K55" s="47"/>
    </row>
    <row r="56" customFormat="false" ht="15" hidden="false" customHeight="false" outlineLevel="0" collapsed="false">
      <c r="A56" s="48" t="s">
        <v>241</v>
      </c>
      <c r="B56" s="49"/>
      <c r="C56" s="49"/>
      <c r="D56" s="49"/>
      <c r="E56" s="47"/>
      <c r="F56" s="47"/>
      <c r="G56" s="47"/>
      <c r="H56" s="47"/>
      <c r="I56" s="47"/>
      <c r="J56" s="47"/>
      <c r="K56" s="47"/>
    </row>
    <row r="57" customFormat="false" ht="15" hidden="false" customHeight="false" outlineLevel="0" collapsed="false">
      <c r="A57" s="50" t="s">
        <v>242</v>
      </c>
      <c r="B57" s="61" t="n">
        <v>600</v>
      </c>
      <c r="C57" s="52" t="s">
        <v>243</v>
      </c>
      <c r="D57" s="52" t="s">
        <v>244</v>
      </c>
      <c r="E57" s="47"/>
      <c r="F57" s="47"/>
      <c r="G57" s="47"/>
      <c r="H57" s="47"/>
      <c r="I57" s="47"/>
      <c r="J57" s="47"/>
      <c r="K57" s="47"/>
    </row>
    <row r="58" customFormat="false" ht="15" hidden="false" customHeight="false" outlineLevel="0" collapsed="false">
      <c r="A58" s="50" t="s">
        <v>245</v>
      </c>
      <c r="B58" s="61" t="n">
        <v>4</v>
      </c>
      <c r="C58" s="52" t="s">
        <v>246</v>
      </c>
      <c r="D58" s="52" t="s">
        <v>247</v>
      </c>
      <c r="E58" s="47"/>
      <c r="F58" s="47"/>
      <c r="G58" s="47"/>
      <c r="H58" s="47"/>
      <c r="I58" s="47"/>
      <c r="J58" s="47"/>
      <c r="K58" s="47"/>
    </row>
    <row r="59" customFormat="false" ht="15" hidden="false" customHeight="false" outlineLevel="0" collapsed="false">
      <c r="A59" s="50" t="s">
        <v>248</v>
      </c>
      <c r="B59" s="61" t="n">
        <v>850</v>
      </c>
      <c r="C59" s="52" t="s">
        <v>249</v>
      </c>
      <c r="D59" s="52" t="s">
        <v>247</v>
      </c>
      <c r="E59" s="47"/>
      <c r="F59" s="47"/>
      <c r="G59" s="47"/>
      <c r="H59" s="47"/>
      <c r="I59" s="47"/>
      <c r="J59" s="47"/>
      <c r="K59" s="47"/>
    </row>
    <row r="60" customFormat="false" ht="15" hidden="false" customHeight="false" outlineLevel="0" collapsed="false">
      <c r="A60" s="50" t="s">
        <v>250</v>
      </c>
      <c r="B60" s="61" t="n">
        <v>450</v>
      </c>
      <c r="C60" s="52" t="s">
        <v>249</v>
      </c>
      <c r="D60" s="52" t="s">
        <v>247</v>
      </c>
      <c r="E60" s="47"/>
      <c r="F60" s="47"/>
      <c r="G60" s="47"/>
      <c r="H60" s="47"/>
      <c r="I60" s="47"/>
      <c r="J60" s="47"/>
      <c r="K60" s="47"/>
    </row>
    <row r="61" customFormat="false" ht="15" hidden="false" customHeight="false" outlineLevel="0" collapsed="false">
      <c r="A61" s="50" t="s">
        <v>251</v>
      </c>
      <c r="B61" s="54" t="n">
        <v>0.85</v>
      </c>
      <c r="C61" s="52" t="s">
        <v>181</v>
      </c>
      <c r="D61" s="52" t="s">
        <v>247</v>
      </c>
      <c r="E61" s="47"/>
      <c r="F61" s="47"/>
      <c r="G61" s="47"/>
      <c r="H61" s="47"/>
      <c r="I61" s="47"/>
      <c r="J61" s="47"/>
      <c r="K61" s="47"/>
    </row>
    <row r="62" customFormat="false" ht="15" hidden="false" customHeight="false" outlineLevel="0" collapsed="false">
      <c r="A62" s="50" t="s">
        <v>252</v>
      </c>
      <c r="B62" s="54" t="n">
        <v>0.5</v>
      </c>
      <c r="C62" s="52" t="s">
        <v>181</v>
      </c>
      <c r="D62" s="52" t="s">
        <v>247</v>
      </c>
      <c r="E62" s="47"/>
      <c r="F62" s="47"/>
      <c r="G62" s="47"/>
      <c r="H62" s="47"/>
      <c r="I62" s="47"/>
      <c r="J62" s="47"/>
      <c r="K62" s="47"/>
    </row>
    <row r="63" customFormat="false" ht="15" hidden="false" customHeight="false" outlineLevel="0" collapsed="false">
      <c r="A63" s="50" t="s">
        <v>253</v>
      </c>
      <c r="B63" s="54" t="n">
        <v>0.834</v>
      </c>
      <c r="C63" s="52" t="s">
        <v>181</v>
      </c>
      <c r="D63" s="52" t="s">
        <v>254</v>
      </c>
      <c r="E63" s="47"/>
      <c r="F63" s="47"/>
      <c r="G63" s="47"/>
      <c r="H63" s="47"/>
      <c r="I63" s="47"/>
      <c r="J63" s="47"/>
      <c r="K63" s="47"/>
    </row>
    <row r="64" customFormat="false" ht="15" hidden="false" customHeight="false" outlineLevel="0" collapsed="false">
      <c r="A64" s="50" t="s">
        <v>255</v>
      </c>
      <c r="B64" s="54" t="n">
        <v>0.0221</v>
      </c>
      <c r="C64" s="52" t="s">
        <v>181</v>
      </c>
      <c r="D64" s="52" t="s">
        <v>256</v>
      </c>
      <c r="E64" s="47"/>
      <c r="F64" s="47"/>
      <c r="G64" s="47"/>
      <c r="H64" s="47"/>
      <c r="I64" s="47"/>
      <c r="J64" s="47"/>
      <c r="K64" s="47"/>
    </row>
    <row r="65" customFormat="false" ht="15" hidden="false" customHeight="false" outlineLevel="0" collapsed="false">
      <c r="A65" s="50" t="s">
        <v>257</v>
      </c>
      <c r="B65" s="54" t="n">
        <v>0.905</v>
      </c>
      <c r="C65" s="52" t="s">
        <v>181</v>
      </c>
      <c r="D65" s="52" t="s">
        <v>258</v>
      </c>
      <c r="E65" s="47"/>
      <c r="F65" s="47"/>
      <c r="G65" s="47"/>
      <c r="H65" s="47"/>
      <c r="I65" s="47"/>
      <c r="J65" s="47"/>
      <c r="K65" s="47"/>
    </row>
    <row r="66" customFormat="false" ht="15" hidden="false" customHeight="false" outlineLevel="0" collapsed="false">
      <c r="A66" s="50" t="s">
        <v>259</v>
      </c>
      <c r="B66" s="54" t="n">
        <v>0.952</v>
      </c>
      <c r="C66" s="52" t="s">
        <v>181</v>
      </c>
      <c r="D66" s="52" t="s">
        <v>260</v>
      </c>
      <c r="E66" s="47"/>
      <c r="F66" s="47"/>
      <c r="G66" s="47"/>
      <c r="H66" s="47"/>
      <c r="I66" s="47"/>
      <c r="J66" s="47"/>
      <c r="K66" s="47"/>
    </row>
    <row r="67" customFormat="false" ht="15" hidden="false" customHeight="false" outlineLevel="0" collapsed="false">
      <c r="A67" s="50" t="s">
        <v>261</v>
      </c>
      <c r="B67" s="54" t="n">
        <v>0.442</v>
      </c>
      <c r="C67" s="52" t="s">
        <v>181</v>
      </c>
      <c r="D67" s="52" t="s">
        <v>262</v>
      </c>
      <c r="E67" s="47"/>
      <c r="F67" s="47"/>
      <c r="G67" s="47"/>
      <c r="H67" s="47"/>
      <c r="I67" s="47"/>
      <c r="J67" s="47"/>
      <c r="K67" s="47"/>
    </row>
    <row r="68" customFormat="false" ht="15" hidden="false" customHeight="false" outlineLevel="0" collapsed="false">
      <c r="A68" s="50" t="s">
        <v>263</v>
      </c>
      <c r="B68" s="54" t="n">
        <v>0.461</v>
      </c>
      <c r="C68" s="52" t="s">
        <v>181</v>
      </c>
      <c r="D68" s="52" t="s">
        <v>262</v>
      </c>
      <c r="E68" s="47"/>
      <c r="F68" s="47"/>
      <c r="G68" s="47"/>
      <c r="H68" s="47"/>
      <c r="I68" s="47"/>
      <c r="J68" s="47"/>
      <c r="K68" s="47"/>
    </row>
    <row r="69" customFormat="false" ht="15" hidden="false" customHeight="false" outlineLevel="0" collapsed="false">
      <c r="A69" s="50" t="s">
        <v>264</v>
      </c>
      <c r="B69" s="54" t="n">
        <v>0.474</v>
      </c>
      <c r="C69" s="52" t="s">
        <v>181</v>
      </c>
      <c r="D69" s="52" t="s">
        <v>262</v>
      </c>
      <c r="E69" s="47"/>
      <c r="F69" s="47"/>
      <c r="G69" s="47"/>
      <c r="H69" s="47"/>
      <c r="I69" s="47"/>
      <c r="J69" s="47"/>
      <c r="K69" s="47"/>
    </row>
    <row r="70" customFormat="false" ht="15" hidden="false" customHeight="false" outlineLevel="0" collapsed="false">
      <c r="A70" s="50" t="s">
        <v>265</v>
      </c>
      <c r="B70" s="54" t="n">
        <v>0.03</v>
      </c>
      <c r="C70" s="52" t="s">
        <v>181</v>
      </c>
      <c r="D70" s="52" t="s">
        <v>266</v>
      </c>
      <c r="E70" s="47"/>
      <c r="F70" s="47"/>
      <c r="G70" s="47"/>
      <c r="H70" s="47"/>
      <c r="I70" s="47"/>
      <c r="J70" s="47"/>
      <c r="K70" s="47"/>
    </row>
    <row r="71" customFormat="false" ht="15" hidden="false" customHeight="false" outlineLevel="0" collapsed="false">
      <c r="A71" s="50" t="s">
        <v>267</v>
      </c>
      <c r="B71" s="54" t="n">
        <v>0.08</v>
      </c>
      <c r="C71" s="52" t="s">
        <v>181</v>
      </c>
      <c r="D71" s="52" t="s">
        <v>266</v>
      </c>
      <c r="E71" s="47"/>
      <c r="F71" s="47"/>
      <c r="G71" s="47"/>
      <c r="H71" s="47"/>
      <c r="I71" s="47"/>
      <c r="J71" s="47"/>
      <c r="K71" s="47"/>
    </row>
    <row r="72" customFormat="false" ht="15" hidden="false" customHeight="false" outlineLevel="0" collapsed="false">
      <c r="A72" s="50" t="s">
        <v>268</v>
      </c>
      <c r="B72" s="54" t="n">
        <v>0.04</v>
      </c>
      <c r="C72" s="52" t="s">
        <v>181</v>
      </c>
      <c r="D72" s="52" t="s">
        <v>266</v>
      </c>
      <c r="E72" s="47"/>
      <c r="F72" s="47"/>
      <c r="G72" s="47"/>
      <c r="H72" s="47"/>
      <c r="I72" s="47"/>
      <c r="J72" s="47"/>
      <c r="K72" s="47"/>
    </row>
    <row r="73" customFormat="false" ht="15" hidden="false" customHeight="false" outlineLevel="0" collapsed="false">
      <c r="A73" s="48" t="s">
        <v>269</v>
      </c>
      <c r="B73" s="49"/>
      <c r="C73" s="49"/>
      <c r="D73" s="49"/>
      <c r="E73" s="47"/>
      <c r="F73" s="47"/>
      <c r="G73" s="47"/>
      <c r="H73" s="47"/>
      <c r="I73" s="47"/>
      <c r="J73" s="47"/>
      <c r="K73" s="47"/>
    </row>
    <row r="74" customFormat="false" ht="15" hidden="false" customHeight="false" outlineLevel="0" collapsed="false">
      <c r="A74" s="50" t="s">
        <v>270</v>
      </c>
      <c r="B74" s="57" t="n">
        <v>78.93</v>
      </c>
      <c r="C74" s="52" t="s">
        <v>201</v>
      </c>
      <c r="D74" s="52" t="s">
        <v>271</v>
      </c>
      <c r="E74" s="47"/>
      <c r="F74" s="47"/>
      <c r="G74" s="47"/>
      <c r="H74" s="47"/>
      <c r="I74" s="47"/>
      <c r="J74" s="47"/>
      <c r="K74" s="47"/>
    </row>
    <row r="75" customFormat="false" ht="15" hidden="false" customHeight="false" outlineLevel="0" collapsed="false">
      <c r="A75" s="50" t="s">
        <v>272</v>
      </c>
      <c r="B75" s="57" t="n">
        <v>86.54</v>
      </c>
      <c r="C75" s="52" t="s">
        <v>201</v>
      </c>
      <c r="D75" s="52" t="s">
        <v>271</v>
      </c>
      <c r="E75" s="47"/>
      <c r="F75" s="47"/>
      <c r="G75" s="47"/>
      <c r="H75" s="47"/>
      <c r="I75" s="47"/>
      <c r="J75" s="47"/>
      <c r="K75" s="47"/>
    </row>
    <row r="76" customFormat="false" ht="15" hidden="false" customHeight="false" outlineLevel="0" collapsed="false">
      <c r="A76" s="50" t="s">
        <v>273</v>
      </c>
      <c r="B76" s="57" t="n">
        <v>90.42</v>
      </c>
      <c r="C76" s="52" t="s">
        <v>201</v>
      </c>
      <c r="D76" s="52" t="s">
        <v>271</v>
      </c>
      <c r="E76" s="47"/>
      <c r="F76" s="47"/>
      <c r="G76" s="47"/>
      <c r="H76" s="47"/>
      <c r="I76" s="47"/>
      <c r="J76" s="47"/>
      <c r="K76" s="47"/>
    </row>
    <row r="77" customFormat="false" ht="15" hidden="false" customHeight="false" outlineLevel="0" collapsed="false">
      <c r="A77" s="50" t="s">
        <v>274</v>
      </c>
      <c r="B77" s="57" t="n">
        <v>94.34</v>
      </c>
      <c r="C77" s="52" t="s">
        <v>201</v>
      </c>
      <c r="D77" s="52" t="s">
        <v>271</v>
      </c>
      <c r="E77" s="47"/>
      <c r="F77" s="47"/>
      <c r="G77" s="47"/>
      <c r="H77" s="47"/>
      <c r="I77" s="47"/>
      <c r="J77" s="47"/>
      <c r="K77" s="47"/>
    </row>
    <row r="78" customFormat="false" ht="15" hidden="false" customHeight="false" outlineLevel="0" collapsed="false">
      <c r="A78" s="50" t="s">
        <v>275</v>
      </c>
      <c r="B78" s="57" t="n">
        <v>104.9</v>
      </c>
      <c r="C78" s="52" t="s">
        <v>201</v>
      </c>
      <c r="D78" s="52" t="s">
        <v>271</v>
      </c>
      <c r="E78" s="47"/>
      <c r="F78" s="47"/>
      <c r="G78" s="47"/>
      <c r="H78" s="47"/>
      <c r="I78" s="47"/>
      <c r="J78" s="47"/>
      <c r="K78" s="47"/>
    </row>
    <row r="79" customFormat="false" ht="15" hidden="false" customHeight="false" outlineLevel="0" collapsed="false">
      <c r="A79" s="50" t="s">
        <v>276</v>
      </c>
      <c r="B79" s="57" t="n">
        <v>111.25</v>
      </c>
      <c r="C79" s="52" t="s">
        <v>201</v>
      </c>
      <c r="D79" s="52" t="s">
        <v>271</v>
      </c>
      <c r="E79" s="47"/>
      <c r="F79" s="47"/>
      <c r="G79" s="47"/>
      <c r="H79" s="47"/>
      <c r="I79" s="47"/>
      <c r="J79" s="47"/>
      <c r="K79" s="47"/>
    </row>
    <row r="80" customFormat="false" ht="15" hidden="false" customHeight="false" outlineLevel="0" collapsed="false">
      <c r="A80" s="50" t="s">
        <v>277</v>
      </c>
      <c r="B80" s="57" t="n">
        <v>118.05</v>
      </c>
      <c r="C80" s="52" t="s">
        <v>201</v>
      </c>
      <c r="D80" s="52" t="s">
        <v>271</v>
      </c>
      <c r="E80" s="47"/>
      <c r="F80" s="47"/>
      <c r="G80" s="47"/>
      <c r="H80" s="47"/>
      <c r="I80" s="47"/>
      <c r="J80" s="47"/>
      <c r="K80" s="47"/>
    </row>
    <row r="81" customFormat="false" ht="15" hidden="false" customHeight="false" outlineLevel="0" collapsed="false">
      <c r="A81" s="50" t="s">
        <v>278</v>
      </c>
      <c r="B81" s="57" t="n">
        <v>131.42</v>
      </c>
      <c r="C81" s="52" t="s">
        <v>201</v>
      </c>
      <c r="D81" s="52" t="s">
        <v>271</v>
      </c>
      <c r="E81" s="47"/>
      <c r="F81" s="47"/>
      <c r="G81" s="47"/>
      <c r="H81" s="47"/>
      <c r="I81" s="47"/>
      <c r="J81" s="47"/>
      <c r="K81" s="47"/>
    </row>
    <row r="82" customFormat="false" ht="15" hidden="false" customHeight="false" outlineLevel="0" collapsed="false">
      <c r="A82" s="50" t="s">
        <v>279</v>
      </c>
      <c r="B82" s="57" t="n">
        <v>138.21</v>
      </c>
      <c r="C82" s="52" t="s">
        <v>201</v>
      </c>
      <c r="D82" s="52" t="s">
        <v>271</v>
      </c>
      <c r="E82" s="47"/>
      <c r="F82" s="47"/>
      <c r="G82" s="47"/>
      <c r="H82" s="47"/>
      <c r="I82" s="47"/>
      <c r="J82" s="47"/>
      <c r="K82" s="47"/>
    </row>
    <row r="83" customFormat="false" ht="15" hidden="false" customHeight="false" outlineLevel="0" collapsed="false">
      <c r="A83" s="50" t="s">
        <v>280</v>
      </c>
      <c r="B83" s="57" t="n">
        <v>145.38</v>
      </c>
      <c r="C83" s="52" t="s">
        <v>201</v>
      </c>
      <c r="D83" s="52" t="s">
        <v>271</v>
      </c>
      <c r="E83" s="47"/>
      <c r="F83" s="47"/>
      <c r="G83" s="47"/>
      <c r="H83" s="47"/>
      <c r="I83" s="47"/>
      <c r="J83" s="47"/>
      <c r="K83" s="47"/>
    </row>
    <row r="84" customFormat="false" ht="15" hidden="false" customHeight="false" outlineLevel="0" collapsed="false">
      <c r="A84" s="50" t="s">
        <v>281</v>
      </c>
      <c r="B84" s="57" t="n">
        <v>159.79</v>
      </c>
      <c r="C84" s="52" t="s">
        <v>201</v>
      </c>
      <c r="D84" s="52" t="s">
        <v>271</v>
      </c>
      <c r="E84" s="47"/>
      <c r="F84" s="47"/>
      <c r="G84" s="47"/>
      <c r="H84" s="47"/>
      <c r="I84" s="47"/>
      <c r="J84" s="47"/>
      <c r="K84" s="47"/>
    </row>
    <row r="85" customFormat="false" ht="15" hidden="false" customHeight="false" outlineLevel="0" collapsed="false">
      <c r="A85" s="50" t="s">
        <v>282</v>
      </c>
      <c r="B85" s="57" t="n">
        <v>167.46</v>
      </c>
      <c r="C85" s="52" t="s">
        <v>201</v>
      </c>
      <c r="D85" s="52" t="s">
        <v>271</v>
      </c>
      <c r="E85" s="47"/>
      <c r="F85" s="47"/>
      <c r="G85" s="47"/>
      <c r="H85" s="47"/>
      <c r="I85" s="47"/>
      <c r="J85" s="47"/>
      <c r="K85" s="47"/>
    </row>
    <row r="86" customFormat="false" ht="15" hidden="false" customHeight="false" outlineLevel="0" collapsed="false">
      <c r="A86" s="50" t="s">
        <v>283</v>
      </c>
      <c r="B86" s="57" t="n">
        <v>175.52</v>
      </c>
      <c r="C86" s="52" t="s">
        <v>201</v>
      </c>
      <c r="D86" s="52" t="s">
        <v>271</v>
      </c>
      <c r="E86" s="47"/>
      <c r="F86" s="47"/>
      <c r="G86" s="47"/>
      <c r="H86" s="47"/>
      <c r="I86" s="47"/>
      <c r="J86" s="47"/>
      <c r="K86" s="47"/>
    </row>
    <row r="87" customFormat="false" ht="15" hidden="false" customHeight="false" outlineLevel="0" collapsed="false">
      <c r="A87" s="50" t="s">
        <v>284</v>
      </c>
      <c r="B87" s="54" t="n">
        <v>0.025</v>
      </c>
      <c r="C87" s="52" t="s">
        <v>181</v>
      </c>
      <c r="D87" s="52" t="s">
        <v>285</v>
      </c>
      <c r="E87" s="47"/>
      <c r="F87" s="47"/>
      <c r="G87" s="47"/>
      <c r="H87" s="47"/>
      <c r="I87" s="47"/>
      <c r="J87" s="47"/>
      <c r="K87" s="47"/>
    </row>
    <row r="88" customFormat="false" ht="15" hidden="false" customHeight="false" outlineLevel="0" collapsed="false">
      <c r="A88" s="50" t="s">
        <v>286</v>
      </c>
      <c r="B88" s="55" t="n">
        <v>2</v>
      </c>
      <c r="C88" s="52" t="s">
        <v>287</v>
      </c>
      <c r="D88" s="52" t="s">
        <v>288</v>
      </c>
      <c r="E88" s="47"/>
      <c r="F88" s="47"/>
      <c r="G88" s="47"/>
      <c r="H88" s="47"/>
      <c r="I88" s="47"/>
      <c r="J88" s="47"/>
      <c r="K88" s="47"/>
    </row>
    <row r="89" customFormat="false" ht="15" hidden="false" customHeight="false" outlineLevel="0" collapsed="false">
      <c r="A89" s="50" t="s">
        <v>289</v>
      </c>
      <c r="B89" s="57" t="n">
        <v>104.328</v>
      </c>
      <c r="C89" s="52" t="s">
        <v>201</v>
      </c>
      <c r="D89" s="52" t="s">
        <v>290</v>
      </c>
      <c r="E89" s="47"/>
      <c r="F89" s="47"/>
      <c r="G89" s="47"/>
      <c r="H89" s="47"/>
      <c r="I89" s="47"/>
      <c r="J89" s="47"/>
      <c r="K89" s="47"/>
    </row>
    <row r="90" customFormat="false" ht="15" hidden="false" customHeight="false" outlineLevel="0" collapsed="false">
      <c r="A90" s="50" t="s">
        <v>291</v>
      </c>
      <c r="B90" s="57" t="n">
        <v>110.519</v>
      </c>
      <c r="C90" s="52" t="s">
        <v>201</v>
      </c>
      <c r="D90" s="52" t="s">
        <v>290</v>
      </c>
      <c r="E90" s="47"/>
      <c r="F90" s="47"/>
      <c r="G90" s="47"/>
      <c r="H90" s="47"/>
      <c r="I90" s="47"/>
      <c r="J90" s="47"/>
      <c r="K90" s="47"/>
    </row>
    <row r="91" customFormat="false" ht="15" hidden="false" customHeight="false" outlineLevel="0" collapsed="false">
      <c r="A91" s="50" t="s">
        <v>292</v>
      </c>
      <c r="B91" s="57" t="n">
        <v>115.216</v>
      </c>
      <c r="C91" s="52" t="s">
        <v>201</v>
      </c>
      <c r="D91" s="52" t="s">
        <v>290</v>
      </c>
      <c r="E91" s="47"/>
      <c r="F91" s="47"/>
      <c r="G91" s="47"/>
      <c r="H91" s="47"/>
      <c r="I91" s="47"/>
      <c r="J91" s="47"/>
      <c r="K91" s="47"/>
    </row>
    <row r="92" customFormat="false" ht="15" hidden="false" customHeight="false" outlineLevel="0" collapsed="false">
      <c r="A92" s="50" t="s">
        <v>293</v>
      </c>
      <c r="B92" s="57" t="n">
        <v>119.075</v>
      </c>
      <c r="C92" s="52" t="s">
        <v>201</v>
      </c>
      <c r="D92" s="52" t="s">
        <v>290</v>
      </c>
      <c r="E92" s="47"/>
      <c r="F92" s="47"/>
      <c r="G92" s="47"/>
      <c r="H92" s="47"/>
      <c r="I92" s="47"/>
      <c r="J92" s="47"/>
      <c r="K92" s="47"/>
    </row>
    <row r="93" customFormat="false" ht="15" hidden="false" customHeight="false" outlineLevel="0" collapsed="false">
      <c r="A93" s="50" t="s">
        <v>294</v>
      </c>
      <c r="B93" s="57" t="n">
        <v>125.825</v>
      </c>
      <c r="C93" s="52" t="s">
        <v>201</v>
      </c>
      <c r="D93" s="52" t="s">
        <v>290</v>
      </c>
      <c r="E93" s="47"/>
      <c r="F93" s="47"/>
      <c r="G93" s="47"/>
      <c r="H93" s="47"/>
      <c r="I93" s="47"/>
      <c r="J93" s="47"/>
      <c r="K93" s="47"/>
    </row>
    <row r="94" customFormat="false" ht="15" hidden="false" customHeight="false" outlineLevel="0" collapsed="false">
      <c r="A94" s="50" t="s">
        <v>295</v>
      </c>
      <c r="B94" s="57" t="n">
        <v>132.794</v>
      </c>
      <c r="C94" s="52" t="s">
        <v>201</v>
      </c>
      <c r="D94" s="52" t="s">
        <v>290</v>
      </c>
      <c r="E94" s="47"/>
      <c r="F94" s="47"/>
      <c r="G94" s="47"/>
      <c r="H94" s="47"/>
      <c r="I94" s="47"/>
      <c r="J94" s="47"/>
      <c r="K94" s="47"/>
    </row>
    <row r="95" customFormat="false" ht="15" hidden="false" customHeight="false" outlineLevel="0" collapsed="false">
      <c r="A95" s="50" t="s">
        <v>296</v>
      </c>
      <c r="B95" s="57" t="n">
        <v>140.706</v>
      </c>
      <c r="C95" s="52" t="s">
        <v>201</v>
      </c>
      <c r="D95" s="52" t="s">
        <v>290</v>
      </c>
      <c r="E95" s="47"/>
      <c r="F95" s="47"/>
      <c r="G95" s="47"/>
      <c r="H95" s="47"/>
      <c r="I95" s="47"/>
      <c r="J95" s="47"/>
      <c r="K95" s="47"/>
    </row>
    <row r="96" customFormat="false" ht="15" hidden="false" customHeight="false" outlineLevel="0" collapsed="false">
      <c r="A96" s="50" t="s">
        <v>297</v>
      </c>
      <c r="B96" s="57" t="n">
        <v>149.264</v>
      </c>
      <c r="C96" s="52" t="s">
        <v>201</v>
      </c>
      <c r="D96" s="52" t="s">
        <v>290</v>
      </c>
      <c r="E96" s="47"/>
      <c r="F96" s="47"/>
      <c r="G96" s="47"/>
      <c r="H96" s="47"/>
      <c r="I96" s="47"/>
      <c r="J96" s="47"/>
      <c r="K96" s="47"/>
    </row>
    <row r="97" customFormat="false" ht="15" hidden="false" customHeight="false" outlineLevel="0" collapsed="false">
      <c r="A97" s="50" t="s">
        <v>298</v>
      </c>
      <c r="B97" s="57" t="n">
        <v>156.54</v>
      </c>
      <c r="C97" s="52" t="s">
        <v>201</v>
      </c>
      <c r="D97" s="52" t="s">
        <v>290</v>
      </c>
      <c r="E97" s="47"/>
      <c r="F97" s="47"/>
      <c r="G97" s="47"/>
      <c r="H97" s="47"/>
      <c r="I97" s="47"/>
      <c r="J97" s="47"/>
      <c r="K97" s="47"/>
    </row>
    <row r="98" customFormat="false" ht="15" hidden="false" customHeight="false" outlineLevel="0" collapsed="false">
      <c r="A98" s="50" t="s">
        <v>299</v>
      </c>
      <c r="B98" s="57" t="n">
        <v>163.825</v>
      </c>
      <c r="C98" s="52" t="s">
        <v>201</v>
      </c>
      <c r="D98" s="52" t="s">
        <v>290</v>
      </c>
      <c r="E98" s="47"/>
      <c r="F98" s="47"/>
      <c r="G98" s="47"/>
      <c r="H98" s="47"/>
      <c r="I98" s="47"/>
      <c r="J98" s="47"/>
      <c r="K98" s="47"/>
    </row>
    <row r="99" customFormat="false" ht="15" hidden="false" customHeight="false" outlineLevel="0" collapsed="false">
      <c r="A99" s="50" t="s">
        <v>300</v>
      </c>
      <c r="B99" s="57" t="n">
        <v>171.073</v>
      </c>
      <c r="C99" s="52" t="s">
        <v>201</v>
      </c>
      <c r="D99" s="52" t="s">
        <v>290</v>
      </c>
      <c r="E99" s="47"/>
      <c r="F99" s="47"/>
      <c r="G99" s="47"/>
      <c r="H99" s="47"/>
      <c r="I99" s="47"/>
      <c r="J99" s="47"/>
      <c r="K99" s="47"/>
    </row>
    <row r="100" customFormat="false" ht="15" hidden="false" customHeight="false" outlineLevel="0" collapsed="false">
      <c r="A100" s="50" t="s">
        <v>301</v>
      </c>
      <c r="B100" s="57" t="n">
        <v>178.88</v>
      </c>
      <c r="C100" s="52" t="s">
        <v>201</v>
      </c>
      <c r="D100" s="52" t="s">
        <v>290</v>
      </c>
      <c r="E100" s="47"/>
      <c r="F100" s="47"/>
      <c r="G100" s="47"/>
      <c r="H100" s="47"/>
      <c r="I100" s="47"/>
      <c r="J100" s="47"/>
      <c r="K100" s="47"/>
    </row>
    <row r="101" customFormat="false" ht="15" hidden="false" customHeight="false" outlineLevel="0" collapsed="false">
      <c r="A101" s="50" t="s">
        <v>302</v>
      </c>
      <c r="B101" s="57" t="n">
        <v>187.14</v>
      </c>
      <c r="C101" s="52" t="s">
        <v>201</v>
      </c>
      <c r="D101" s="52" t="s">
        <v>290</v>
      </c>
      <c r="E101" s="47"/>
      <c r="F101" s="47"/>
      <c r="G101" s="47"/>
      <c r="H101" s="47"/>
      <c r="I101" s="47"/>
      <c r="J101" s="47"/>
      <c r="K101" s="47"/>
    </row>
    <row r="102" customFormat="false" ht="15" hidden="false" customHeight="false" outlineLevel="0" collapsed="false">
      <c r="A102" s="50" t="s">
        <v>303</v>
      </c>
      <c r="B102" s="57" t="n">
        <v>37.004</v>
      </c>
      <c r="C102" s="52" t="s">
        <v>201</v>
      </c>
      <c r="D102" s="52" t="s">
        <v>304</v>
      </c>
      <c r="E102" s="47"/>
      <c r="F102" s="47"/>
      <c r="G102" s="47"/>
      <c r="H102" s="47"/>
      <c r="I102" s="47"/>
      <c r="J102" s="47"/>
      <c r="K102" s="47"/>
    </row>
    <row r="103" customFormat="false" ht="15" hidden="false" customHeight="false" outlineLevel="0" collapsed="false">
      <c r="A103" s="50" t="s">
        <v>305</v>
      </c>
      <c r="B103" s="57" t="n">
        <v>36.978</v>
      </c>
      <c r="C103" s="52" t="s">
        <v>201</v>
      </c>
      <c r="D103" s="52" t="s">
        <v>304</v>
      </c>
      <c r="E103" s="47"/>
      <c r="F103" s="47"/>
      <c r="G103" s="47"/>
      <c r="H103" s="47"/>
      <c r="I103" s="47"/>
      <c r="J103" s="47"/>
      <c r="K103" s="47"/>
    </row>
    <row r="104" customFormat="false" ht="15" hidden="false" customHeight="false" outlineLevel="0" collapsed="false">
      <c r="A104" s="50" t="s">
        <v>306</v>
      </c>
      <c r="B104" s="57" t="n">
        <v>39.513</v>
      </c>
      <c r="C104" s="52" t="s">
        <v>201</v>
      </c>
      <c r="D104" s="52" t="s">
        <v>304</v>
      </c>
      <c r="E104" s="47"/>
      <c r="F104" s="47"/>
      <c r="G104" s="47"/>
      <c r="H104" s="47"/>
      <c r="I104" s="47"/>
      <c r="J104" s="47"/>
      <c r="K104" s="47"/>
    </row>
    <row r="105" customFormat="false" ht="15" hidden="false" customHeight="false" outlineLevel="0" collapsed="false">
      <c r="A105" s="50" t="s">
        <v>307</v>
      </c>
      <c r="B105" s="57" t="n">
        <v>41.366</v>
      </c>
      <c r="C105" s="52" t="s">
        <v>201</v>
      </c>
      <c r="D105" s="52" t="s">
        <v>304</v>
      </c>
      <c r="E105" s="47"/>
      <c r="F105" s="47"/>
      <c r="G105" s="47"/>
      <c r="H105" s="47"/>
      <c r="I105" s="47"/>
      <c r="J105" s="47"/>
      <c r="K105" s="47"/>
    </row>
    <row r="106" customFormat="false" ht="15" hidden="false" customHeight="false" outlineLevel="0" collapsed="false">
      <c r="A106" s="50" t="s">
        <v>308</v>
      </c>
      <c r="B106" s="57" t="n">
        <v>45.172</v>
      </c>
      <c r="C106" s="52" t="s">
        <v>201</v>
      </c>
      <c r="D106" s="52" t="s">
        <v>304</v>
      </c>
      <c r="E106" s="47"/>
      <c r="F106" s="47"/>
      <c r="G106" s="47"/>
      <c r="H106" s="47"/>
      <c r="I106" s="47"/>
      <c r="J106" s="47"/>
      <c r="K106" s="47"/>
    </row>
    <row r="107" customFormat="false" ht="15" hidden="false" customHeight="false" outlineLevel="0" collapsed="false">
      <c r="A107" s="50" t="s">
        <v>309</v>
      </c>
      <c r="B107" s="57" t="n">
        <v>49.209</v>
      </c>
      <c r="C107" s="52" t="s">
        <v>201</v>
      </c>
      <c r="D107" s="52" t="s">
        <v>304</v>
      </c>
      <c r="E107" s="47"/>
      <c r="F107" s="47"/>
      <c r="G107" s="47"/>
      <c r="H107" s="47"/>
      <c r="I107" s="47"/>
      <c r="J107" s="47"/>
      <c r="K107" s="47"/>
    </row>
    <row r="108" customFormat="false" ht="15" hidden="false" customHeight="false" outlineLevel="0" collapsed="false">
      <c r="A108" s="50" t="s">
        <v>310</v>
      </c>
      <c r="B108" s="57" t="n">
        <v>53.858</v>
      </c>
      <c r="C108" s="52" t="s">
        <v>201</v>
      </c>
      <c r="D108" s="52" t="s">
        <v>304</v>
      </c>
      <c r="E108" s="47"/>
      <c r="F108" s="47"/>
      <c r="G108" s="47"/>
      <c r="H108" s="47"/>
      <c r="I108" s="47"/>
      <c r="J108" s="47"/>
      <c r="K108" s="47"/>
    </row>
    <row r="109" customFormat="false" ht="15" hidden="false" customHeight="false" outlineLevel="0" collapsed="false">
      <c r="A109" s="50" t="s">
        <v>311</v>
      </c>
      <c r="B109" s="57" t="n">
        <v>58.961</v>
      </c>
      <c r="C109" s="52" t="s">
        <v>201</v>
      </c>
      <c r="D109" s="52" t="s">
        <v>304</v>
      </c>
      <c r="E109" s="47"/>
      <c r="F109" s="47"/>
      <c r="G109" s="47"/>
      <c r="H109" s="47"/>
      <c r="I109" s="47"/>
      <c r="J109" s="47"/>
      <c r="K109" s="47"/>
    </row>
    <row r="110" customFormat="false" ht="15" hidden="false" customHeight="false" outlineLevel="0" collapsed="false">
      <c r="A110" s="50" t="s">
        <v>312</v>
      </c>
      <c r="B110" s="57" t="n">
        <v>63.23</v>
      </c>
      <c r="C110" s="52" t="s">
        <v>201</v>
      </c>
      <c r="D110" s="52" t="s">
        <v>304</v>
      </c>
      <c r="E110" s="47"/>
      <c r="F110" s="47"/>
      <c r="G110" s="47"/>
      <c r="H110" s="47"/>
      <c r="I110" s="47"/>
      <c r="J110" s="47"/>
      <c r="K110" s="47"/>
    </row>
    <row r="111" customFormat="false" ht="15" hidden="false" customHeight="false" outlineLevel="0" collapsed="false">
      <c r="A111" s="50" t="s">
        <v>313</v>
      </c>
      <c r="B111" s="57" t="n">
        <v>67.43</v>
      </c>
      <c r="C111" s="52" t="s">
        <v>201</v>
      </c>
      <c r="D111" s="52" t="s">
        <v>304</v>
      </c>
      <c r="E111" s="47"/>
      <c r="F111" s="47"/>
      <c r="G111" s="47"/>
      <c r="H111" s="47"/>
      <c r="I111" s="47"/>
      <c r="J111" s="47"/>
      <c r="K111" s="47"/>
    </row>
    <row r="112" customFormat="false" ht="15" hidden="false" customHeight="false" outlineLevel="0" collapsed="false">
      <c r="A112" s="50" t="s">
        <v>314</v>
      </c>
      <c r="B112" s="57" t="n">
        <v>71.589</v>
      </c>
      <c r="C112" s="52" t="s">
        <v>201</v>
      </c>
      <c r="D112" s="52" t="s">
        <v>304</v>
      </c>
      <c r="E112" s="47"/>
      <c r="F112" s="47"/>
      <c r="G112" s="47"/>
      <c r="H112" s="47"/>
      <c r="I112" s="47"/>
      <c r="J112" s="47"/>
      <c r="K112" s="47"/>
    </row>
    <row r="113" customFormat="false" ht="15" hidden="false" customHeight="false" outlineLevel="0" collapsed="false">
      <c r="A113" s="50" t="s">
        <v>315</v>
      </c>
      <c r="B113" s="57" t="n">
        <v>76.099</v>
      </c>
      <c r="C113" s="52" t="s">
        <v>201</v>
      </c>
      <c r="D113" s="52" t="s">
        <v>304</v>
      </c>
      <c r="E113" s="47"/>
      <c r="F113" s="47"/>
      <c r="G113" s="47"/>
      <c r="H113" s="47"/>
      <c r="I113" s="47"/>
      <c r="J113" s="47"/>
      <c r="K113" s="47"/>
    </row>
    <row r="114" customFormat="false" ht="15" hidden="false" customHeight="false" outlineLevel="0" collapsed="false">
      <c r="A114" s="50" t="s">
        <v>316</v>
      </c>
      <c r="B114" s="57" t="n">
        <v>80.914</v>
      </c>
      <c r="C114" s="52" t="s">
        <v>201</v>
      </c>
      <c r="D114" s="52" t="s">
        <v>304</v>
      </c>
      <c r="E114" s="47"/>
      <c r="F114" s="47"/>
      <c r="G114" s="47"/>
      <c r="H114" s="47"/>
      <c r="I114" s="47"/>
      <c r="J114" s="47"/>
      <c r="K114" s="47"/>
    </row>
    <row r="115" customFormat="false" ht="15" hidden="false" customHeight="false" outlineLevel="0" collapsed="false">
      <c r="A115" s="50" t="s">
        <v>317</v>
      </c>
      <c r="B115" s="57" t="n">
        <v>77.48</v>
      </c>
      <c r="C115" s="52" t="s">
        <v>249</v>
      </c>
      <c r="D115" s="52" t="s">
        <v>318</v>
      </c>
      <c r="E115" s="47"/>
      <c r="F115" s="47"/>
      <c r="G115" s="47"/>
      <c r="H115" s="47"/>
      <c r="I115" s="47"/>
      <c r="J115" s="47"/>
      <c r="K115" s="47"/>
    </row>
    <row r="116" customFormat="false" ht="15" hidden="false" customHeight="false" outlineLevel="0" collapsed="false">
      <c r="A116" s="50" t="s">
        <v>319</v>
      </c>
      <c r="B116" s="57" t="n">
        <v>80.33</v>
      </c>
      <c r="C116" s="52" t="s">
        <v>249</v>
      </c>
      <c r="D116" s="52" t="s">
        <v>318</v>
      </c>
      <c r="E116" s="47"/>
      <c r="F116" s="47"/>
      <c r="G116" s="47"/>
      <c r="H116" s="47"/>
      <c r="I116" s="47"/>
      <c r="J116" s="47"/>
      <c r="K116" s="47"/>
    </row>
    <row r="117" customFormat="false" ht="15" hidden="false" customHeight="false" outlineLevel="0" collapsed="false">
      <c r="A117" s="50" t="s">
        <v>320</v>
      </c>
      <c r="B117" s="57" t="n">
        <v>82.38</v>
      </c>
      <c r="C117" s="52" t="s">
        <v>249</v>
      </c>
      <c r="D117" s="52" t="s">
        <v>318</v>
      </c>
      <c r="E117" s="47"/>
      <c r="F117" s="47"/>
      <c r="G117" s="47"/>
      <c r="H117" s="47"/>
      <c r="I117" s="47"/>
      <c r="J117" s="47"/>
      <c r="K117" s="47"/>
    </row>
    <row r="118" customFormat="false" ht="15" hidden="false" customHeight="false" outlineLevel="0" collapsed="false">
      <c r="A118" s="50" t="s">
        <v>321</v>
      </c>
      <c r="B118" s="57" t="n">
        <v>83.53</v>
      </c>
      <c r="C118" s="52" t="s">
        <v>249</v>
      </c>
      <c r="D118" s="52" t="s">
        <v>318</v>
      </c>
      <c r="E118" s="47"/>
      <c r="F118" s="47"/>
      <c r="G118" s="47"/>
      <c r="H118" s="47"/>
      <c r="I118" s="47"/>
      <c r="J118" s="47"/>
      <c r="K118" s="47"/>
    </row>
    <row r="119" customFormat="false" ht="15" hidden="false" customHeight="false" outlineLevel="0" collapsed="false">
      <c r="A119" s="50" t="s">
        <v>322</v>
      </c>
      <c r="B119" s="57" t="n">
        <v>85.44</v>
      </c>
      <c r="C119" s="52" t="s">
        <v>249</v>
      </c>
      <c r="D119" s="52" t="s">
        <v>318</v>
      </c>
      <c r="E119" s="47"/>
      <c r="F119" s="47"/>
      <c r="G119" s="47"/>
      <c r="H119" s="47"/>
      <c r="I119" s="47"/>
      <c r="J119" s="47"/>
      <c r="K119" s="47"/>
    </row>
    <row r="120" customFormat="false" ht="15" hidden="false" customHeight="false" outlineLevel="0" collapsed="false">
      <c r="A120" s="50" t="s">
        <v>323</v>
      </c>
      <c r="B120" s="57" t="n">
        <v>87.39</v>
      </c>
      <c r="C120" s="52" t="s">
        <v>249</v>
      </c>
      <c r="D120" s="52" t="s">
        <v>318</v>
      </c>
      <c r="E120" s="47"/>
      <c r="F120" s="47"/>
      <c r="G120" s="47"/>
      <c r="H120" s="47"/>
      <c r="I120" s="47"/>
      <c r="J120" s="47"/>
      <c r="K120" s="47"/>
    </row>
    <row r="121" customFormat="false" ht="15" hidden="false" customHeight="false" outlineLevel="0" collapsed="false">
      <c r="A121" s="50" t="s">
        <v>324</v>
      </c>
      <c r="B121" s="57" t="n">
        <v>89.39</v>
      </c>
      <c r="C121" s="52" t="s">
        <v>249</v>
      </c>
      <c r="D121" s="52" t="s">
        <v>318</v>
      </c>
      <c r="E121" s="47"/>
      <c r="F121" s="47"/>
      <c r="G121" s="47"/>
      <c r="H121" s="47"/>
      <c r="I121" s="47"/>
      <c r="J121" s="47"/>
      <c r="K121" s="47"/>
    </row>
    <row r="122" customFormat="false" ht="15" hidden="false" customHeight="false" outlineLevel="0" collapsed="false">
      <c r="A122" s="50" t="s">
        <v>325</v>
      </c>
      <c r="B122" s="57" t="n">
        <v>91.44</v>
      </c>
      <c r="C122" s="52" t="s">
        <v>249</v>
      </c>
      <c r="D122" s="52" t="s">
        <v>318</v>
      </c>
      <c r="E122" s="47"/>
      <c r="F122" s="47"/>
      <c r="G122" s="47"/>
      <c r="H122" s="47"/>
      <c r="I122" s="47"/>
      <c r="J122" s="47"/>
      <c r="K122" s="47"/>
    </row>
    <row r="123" customFormat="false" ht="15" hidden="false" customHeight="false" outlineLevel="0" collapsed="false">
      <c r="A123" s="50" t="s">
        <v>326</v>
      </c>
      <c r="B123" s="57" t="n">
        <v>93.54</v>
      </c>
      <c r="C123" s="52" t="s">
        <v>249</v>
      </c>
      <c r="D123" s="52" t="s">
        <v>318</v>
      </c>
      <c r="E123" s="47"/>
      <c r="F123" s="47"/>
      <c r="G123" s="47"/>
      <c r="H123" s="47"/>
      <c r="I123" s="47"/>
      <c r="J123" s="47"/>
      <c r="K123" s="47"/>
    </row>
    <row r="124" customFormat="false" ht="15" hidden="false" customHeight="false" outlineLevel="0" collapsed="false">
      <c r="A124" s="50" t="s">
        <v>327</v>
      </c>
      <c r="B124" s="57" t="n">
        <v>95.69</v>
      </c>
      <c r="C124" s="52" t="s">
        <v>249</v>
      </c>
      <c r="D124" s="52" t="s">
        <v>318</v>
      </c>
      <c r="E124" s="47"/>
      <c r="F124" s="47"/>
      <c r="G124" s="47"/>
      <c r="H124" s="47"/>
      <c r="I124" s="47"/>
      <c r="J124" s="47"/>
      <c r="K124" s="47"/>
    </row>
    <row r="125" customFormat="false" ht="15" hidden="false" customHeight="false" outlineLevel="0" collapsed="false">
      <c r="A125" s="50" t="s">
        <v>328</v>
      </c>
      <c r="B125" s="57" t="n">
        <v>97.9</v>
      </c>
      <c r="C125" s="52" t="s">
        <v>249</v>
      </c>
      <c r="D125" s="52" t="s">
        <v>318</v>
      </c>
      <c r="E125" s="47"/>
      <c r="F125" s="47"/>
      <c r="G125" s="47"/>
      <c r="H125" s="47"/>
      <c r="I125" s="47"/>
      <c r="J125" s="47"/>
      <c r="K125" s="47"/>
    </row>
    <row r="126" customFormat="false" ht="15" hidden="false" customHeight="false" outlineLevel="0" collapsed="false">
      <c r="A126" s="50" t="s">
        <v>329</v>
      </c>
      <c r="B126" s="57" t="n">
        <v>100.16</v>
      </c>
      <c r="C126" s="52" t="s">
        <v>249</v>
      </c>
      <c r="D126" s="52" t="s">
        <v>318</v>
      </c>
      <c r="E126" s="47"/>
      <c r="F126" s="47"/>
      <c r="G126" s="47"/>
      <c r="H126" s="47"/>
      <c r="I126" s="47"/>
      <c r="J126" s="47"/>
      <c r="K126" s="47"/>
    </row>
    <row r="127" customFormat="false" ht="15" hidden="false" customHeight="false" outlineLevel="0" collapsed="false">
      <c r="A127" s="50" t="s">
        <v>330</v>
      </c>
      <c r="B127" s="57" t="n">
        <v>102.49</v>
      </c>
      <c r="C127" s="52" t="s">
        <v>249</v>
      </c>
      <c r="D127" s="52" t="s">
        <v>318</v>
      </c>
      <c r="E127" s="47"/>
      <c r="F127" s="47"/>
      <c r="G127" s="47"/>
      <c r="H127" s="47"/>
      <c r="I127" s="47"/>
      <c r="J127" s="47"/>
      <c r="K127" s="47"/>
    </row>
    <row r="128" customFormat="false" ht="15" hidden="false" customHeight="false" outlineLevel="0" collapsed="false">
      <c r="A128" s="50" t="s">
        <v>331</v>
      </c>
      <c r="B128" s="57" t="n">
        <v>91.91</v>
      </c>
      <c r="C128" s="52" t="s">
        <v>249</v>
      </c>
      <c r="D128" s="52" t="s">
        <v>332</v>
      </c>
      <c r="E128" s="47"/>
      <c r="F128" s="47"/>
      <c r="G128" s="47"/>
      <c r="H128" s="47"/>
      <c r="I128" s="47"/>
      <c r="J128" s="47"/>
      <c r="K128" s="47"/>
    </row>
    <row r="129" customFormat="false" ht="15" hidden="false" customHeight="false" outlineLevel="0" collapsed="false">
      <c r="A129" s="50" t="s">
        <v>333</v>
      </c>
      <c r="B129" s="57" t="n">
        <v>95.06</v>
      </c>
      <c r="C129" s="52" t="s">
        <v>249</v>
      </c>
      <c r="D129" s="52" t="s">
        <v>332</v>
      </c>
      <c r="E129" s="47"/>
      <c r="F129" s="47"/>
      <c r="G129" s="47"/>
      <c r="H129" s="47"/>
      <c r="I129" s="47"/>
      <c r="J129" s="47"/>
      <c r="K129" s="47"/>
    </row>
    <row r="130" customFormat="false" ht="15" hidden="false" customHeight="false" outlineLevel="0" collapsed="false">
      <c r="A130" s="50" t="s">
        <v>334</v>
      </c>
      <c r="B130" s="57" t="n">
        <v>97.4</v>
      </c>
      <c r="C130" s="52" t="s">
        <v>249</v>
      </c>
      <c r="D130" s="52" t="s">
        <v>332</v>
      </c>
      <c r="E130" s="47"/>
      <c r="F130" s="47"/>
      <c r="G130" s="47"/>
      <c r="H130" s="47"/>
      <c r="I130" s="47"/>
      <c r="J130" s="47"/>
      <c r="K130" s="47"/>
    </row>
    <row r="131" customFormat="false" ht="15" hidden="false" customHeight="false" outlineLevel="0" collapsed="false">
      <c r="A131" s="50" t="s">
        <v>335</v>
      </c>
      <c r="B131" s="57" t="n">
        <v>98.85</v>
      </c>
      <c r="C131" s="52" t="s">
        <v>249</v>
      </c>
      <c r="D131" s="52" t="s">
        <v>332</v>
      </c>
      <c r="E131" s="47"/>
      <c r="F131" s="47"/>
      <c r="G131" s="47"/>
      <c r="H131" s="47"/>
      <c r="I131" s="47"/>
      <c r="J131" s="47"/>
      <c r="K131" s="47"/>
    </row>
    <row r="132" customFormat="false" ht="15" hidden="false" customHeight="false" outlineLevel="0" collapsed="false">
      <c r="A132" s="50" t="s">
        <v>336</v>
      </c>
      <c r="B132" s="57" t="n">
        <v>101.06</v>
      </c>
      <c r="C132" s="52" t="s">
        <v>249</v>
      </c>
      <c r="D132" s="52" t="s">
        <v>332</v>
      </c>
      <c r="E132" s="47"/>
      <c r="F132" s="47"/>
      <c r="G132" s="47"/>
      <c r="H132" s="47"/>
      <c r="I132" s="47"/>
      <c r="J132" s="47"/>
      <c r="K132" s="47"/>
    </row>
    <row r="133" customFormat="false" ht="15" hidden="false" customHeight="false" outlineLevel="0" collapsed="false">
      <c r="A133" s="50" t="s">
        <v>337</v>
      </c>
      <c r="B133" s="57" t="n">
        <v>103.33</v>
      </c>
      <c r="C133" s="52" t="s">
        <v>249</v>
      </c>
      <c r="D133" s="52" t="s">
        <v>332</v>
      </c>
      <c r="E133" s="47"/>
      <c r="F133" s="47"/>
      <c r="G133" s="47"/>
      <c r="H133" s="47"/>
      <c r="I133" s="47"/>
      <c r="J133" s="47"/>
      <c r="K133" s="47"/>
    </row>
    <row r="134" customFormat="false" ht="15" hidden="false" customHeight="false" outlineLevel="0" collapsed="false">
      <c r="A134" s="50" t="s">
        <v>338</v>
      </c>
      <c r="B134" s="57" t="n">
        <v>105.64</v>
      </c>
      <c r="C134" s="52" t="s">
        <v>249</v>
      </c>
      <c r="D134" s="52" t="s">
        <v>332</v>
      </c>
      <c r="E134" s="47"/>
      <c r="F134" s="47"/>
      <c r="G134" s="47"/>
      <c r="H134" s="47"/>
      <c r="I134" s="47"/>
      <c r="J134" s="47"/>
      <c r="K134" s="47"/>
    </row>
    <row r="135" customFormat="false" ht="15" hidden="false" customHeight="false" outlineLevel="0" collapsed="false">
      <c r="A135" s="50" t="s">
        <v>339</v>
      </c>
      <c r="B135" s="57" t="n">
        <v>108.02</v>
      </c>
      <c r="C135" s="52" t="s">
        <v>249</v>
      </c>
      <c r="D135" s="52" t="s">
        <v>332</v>
      </c>
      <c r="E135" s="47"/>
      <c r="F135" s="47"/>
      <c r="G135" s="47"/>
      <c r="H135" s="47"/>
      <c r="I135" s="47"/>
      <c r="J135" s="47"/>
      <c r="K135" s="47"/>
    </row>
    <row r="136" customFormat="false" ht="15" hidden="false" customHeight="false" outlineLevel="0" collapsed="false">
      <c r="A136" s="50" t="s">
        <v>340</v>
      </c>
      <c r="B136" s="57" t="n">
        <v>110.45</v>
      </c>
      <c r="C136" s="52" t="s">
        <v>249</v>
      </c>
      <c r="D136" s="52" t="s">
        <v>332</v>
      </c>
      <c r="E136" s="47"/>
      <c r="F136" s="47"/>
      <c r="G136" s="47"/>
      <c r="H136" s="47"/>
      <c r="I136" s="47"/>
      <c r="J136" s="47"/>
      <c r="K136" s="47"/>
    </row>
    <row r="137" customFormat="false" ht="15" hidden="false" customHeight="false" outlineLevel="0" collapsed="false">
      <c r="A137" s="50" t="s">
        <v>341</v>
      </c>
      <c r="B137" s="57" t="n">
        <v>112.94</v>
      </c>
      <c r="C137" s="52" t="s">
        <v>249</v>
      </c>
      <c r="D137" s="52" t="s">
        <v>332</v>
      </c>
      <c r="E137" s="47"/>
      <c r="F137" s="47"/>
      <c r="G137" s="47"/>
      <c r="H137" s="47"/>
      <c r="I137" s="47"/>
      <c r="J137" s="47"/>
      <c r="K137" s="47"/>
    </row>
    <row r="138" customFormat="false" ht="15" hidden="false" customHeight="false" outlineLevel="0" collapsed="false">
      <c r="A138" s="50" t="s">
        <v>342</v>
      </c>
      <c r="B138" s="57" t="n">
        <v>115.5</v>
      </c>
      <c r="C138" s="52" t="s">
        <v>249</v>
      </c>
      <c r="D138" s="52" t="s">
        <v>332</v>
      </c>
      <c r="E138" s="47"/>
      <c r="F138" s="47"/>
      <c r="G138" s="47"/>
      <c r="H138" s="47"/>
      <c r="I138" s="47"/>
      <c r="J138" s="47"/>
      <c r="K138" s="47"/>
    </row>
    <row r="139" customFormat="false" ht="15" hidden="false" customHeight="false" outlineLevel="0" collapsed="false">
      <c r="A139" s="50" t="s">
        <v>343</v>
      </c>
      <c r="B139" s="57" t="n">
        <v>118.11</v>
      </c>
      <c r="C139" s="52" t="s">
        <v>249</v>
      </c>
      <c r="D139" s="52" t="s">
        <v>332</v>
      </c>
      <c r="E139" s="47"/>
      <c r="F139" s="47"/>
      <c r="G139" s="47"/>
      <c r="H139" s="47"/>
      <c r="I139" s="47"/>
      <c r="J139" s="47"/>
      <c r="K139" s="47"/>
    </row>
    <row r="140" customFormat="false" ht="15" hidden="false" customHeight="false" outlineLevel="0" collapsed="false">
      <c r="A140" s="50" t="s">
        <v>344</v>
      </c>
      <c r="B140" s="57" t="n">
        <v>120.79</v>
      </c>
      <c r="C140" s="52" t="s">
        <v>249</v>
      </c>
      <c r="D140" s="52" t="s">
        <v>332</v>
      </c>
      <c r="E140" s="47"/>
      <c r="F140" s="47"/>
      <c r="G140" s="47"/>
      <c r="H140" s="47"/>
      <c r="I140" s="47"/>
      <c r="J140" s="47"/>
      <c r="K140" s="47"/>
    </row>
    <row r="141" customFormat="false" ht="15" hidden="false" customHeight="false" outlineLevel="0" collapsed="false">
      <c r="A141" s="50" t="s">
        <v>345</v>
      </c>
      <c r="B141" s="54" t="n">
        <v>0.311</v>
      </c>
      <c r="C141" s="52" t="s">
        <v>181</v>
      </c>
      <c r="D141" s="52" t="s">
        <v>346</v>
      </c>
      <c r="E141" s="47"/>
      <c r="F141" s="47"/>
      <c r="G141" s="47"/>
      <c r="H141" s="47"/>
      <c r="I141" s="47"/>
      <c r="J141" s="47"/>
      <c r="K141" s="47"/>
    </row>
    <row r="142" customFormat="false" ht="15" hidden="false" customHeight="false" outlineLevel="0" collapsed="false">
      <c r="A142" s="50" t="s">
        <v>347</v>
      </c>
      <c r="B142" s="54" t="n">
        <v>0.05</v>
      </c>
      <c r="C142" s="52" t="s">
        <v>181</v>
      </c>
      <c r="D142" s="52" t="s">
        <v>266</v>
      </c>
      <c r="E142" s="47"/>
      <c r="F142" s="47"/>
      <c r="G142" s="47"/>
      <c r="H142" s="47"/>
      <c r="I142" s="47"/>
      <c r="J142" s="47"/>
      <c r="K142" s="47"/>
    </row>
    <row r="143" customFormat="false" ht="15" hidden="false" customHeight="false" outlineLevel="0" collapsed="false">
      <c r="A143" s="50" t="s">
        <v>348</v>
      </c>
      <c r="B143" s="54" t="n">
        <v>0.1</v>
      </c>
      <c r="C143" s="52" t="s">
        <v>181</v>
      </c>
      <c r="D143" s="52" t="s">
        <v>266</v>
      </c>
      <c r="E143" s="47"/>
      <c r="F143" s="47"/>
      <c r="G143" s="47"/>
      <c r="H143" s="47"/>
      <c r="I143" s="47"/>
      <c r="J143" s="47"/>
      <c r="K143" s="47"/>
    </row>
    <row r="144" customFormat="false" ht="15" hidden="false" customHeight="false" outlineLevel="0" collapsed="false">
      <c r="A144" s="50" t="s">
        <v>349</v>
      </c>
      <c r="B144" s="57" t="n">
        <v>2</v>
      </c>
      <c r="C144" s="52" t="s">
        <v>201</v>
      </c>
      <c r="D144" s="52" t="s">
        <v>350</v>
      </c>
      <c r="E144" s="47"/>
      <c r="F144" s="47"/>
      <c r="G144" s="47"/>
      <c r="H144" s="47"/>
      <c r="I144" s="47"/>
      <c r="J144" s="47"/>
      <c r="K144" s="47"/>
    </row>
    <row r="145" customFormat="false" ht="15" hidden="false" customHeight="false" outlineLevel="0" collapsed="false">
      <c r="A145" s="48" t="s">
        <v>351</v>
      </c>
      <c r="B145" s="49"/>
      <c r="C145" s="49"/>
      <c r="D145" s="49"/>
      <c r="E145" s="47"/>
      <c r="F145" s="47"/>
      <c r="G145" s="47"/>
      <c r="H145" s="47"/>
      <c r="I145" s="47"/>
      <c r="J145" s="47"/>
      <c r="K145" s="47"/>
    </row>
    <row r="146" customFormat="false" ht="15" hidden="false" customHeight="false" outlineLevel="0" collapsed="false">
      <c r="A146" s="50" t="s">
        <v>352</v>
      </c>
      <c r="B146" s="61" t="n">
        <v>53987</v>
      </c>
      <c r="C146" s="52" t="s">
        <v>353</v>
      </c>
      <c r="D146" s="52" t="s">
        <v>354</v>
      </c>
      <c r="E146" s="47"/>
      <c r="F146" s="47"/>
      <c r="G146" s="47"/>
      <c r="H146" s="47"/>
      <c r="I146" s="47"/>
      <c r="J146" s="47"/>
      <c r="K146" s="47"/>
    </row>
    <row r="147" customFormat="false" ht="15" hidden="false" customHeight="false" outlineLevel="0" collapsed="false">
      <c r="A147" s="50" t="s">
        <v>355</v>
      </c>
      <c r="B147" s="53" t="n">
        <v>38597</v>
      </c>
      <c r="C147" s="52" t="s">
        <v>353</v>
      </c>
      <c r="D147" s="52" t="s">
        <v>356</v>
      </c>
      <c r="E147" s="47"/>
      <c r="F147" s="47"/>
      <c r="G147" s="47"/>
      <c r="H147" s="47"/>
      <c r="I147" s="47"/>
      <c r="J147" s="47"/>
      <c r="K147" s="47"/>
    </row>
    <row r="148" customFormat="false" ht="15" hidden="false" customHeight="false" outlineLevel="0" collapsed="false">
      <c r="A148" s="50" t="s">
        <v>357</v>
      </c>
      <c r="B148" s="62" t="n">
        <f aca="false">Inputs!$B$147/Inputs!$B$146</f>
        <v>0.714931372367422</v>
      </c>
      <c r="C148" s="52" t="s">
        <v>170</v>
      </c>
      <c r="D148" s="52" t="s">
        <v>358</v>
      </c>
      <c r="E148" s="47"/>
      <c r="F148" s="47"/>
      <c r="G148" s="47"/>
      <c r="H148" s="47"/>
      <c r="I148" s="47"/>
      <c r="J148" s="47"/>
      <c r="K148" s="47"/>
    </row>
    <row r="149" customFormat="false" ht="15" hidden="false" customHeight="false" outlineLevel="0" collapsed="false">
      <c r="A149" s="58" t="s">
        <v>359</v>
      </c>
      <c r="B149" s="63" t="s">
        <v>15</v>
      </c>
      <c r="C149" s="64" t="s">
        <v>16</v>
      </c>
      <c r="D149" s="64" t="s">
        <v>17</v>
      </c>
      <c r="E149" s="52" t="s">
        <v>360</v>
      </c>
      <c r="F149" s="47"/>
      <c r="G149" s="47"/>
      <c r="H149" s="47"/>
      <c r="I149" s="47"/>
      <c r="J149" s="47"/>
      <c r="K149" s="47"/>
    </row>
    <row r="150" customFormat="false" ht="15" hidden="false" customHeight="false" outlineLevel="0" collapsed="false">
      <c r="A150" s="50" t="s">
        <v>361</v>
      </c>
      <c r="B150" s="65" t="n">
        <v>30.432008</v>
      </c>
      <c r="C150" s="66" t="n">
        <v>40.037738</v>
      </c>
      <c r="D150" s="66" t="n">
        <v>48.633526</v>
      </c>
      <c r="E150" s="47"/>
      <c r="F150" s="47"/>
      <c r="G150" s="47"/>
      <c r="H150" s="47"/>
      <c r="I150" s="47"/>
      <c r="J150" s="47"/>
      <c r="K150" s="47"/>
    </row>
    <row r="151" customFormat="false" ht="15" hidden="false" customHeight="false" outlineLevel="0" collapsed="false">
      <c r="A151" s="50" t="s">
        <v>362</v>
      </c>
      <c r="B151" s="65" t="n">
        <v>4.95</v>
      </c>
      <c r="C151" s="66" t="n">
        <v>5.445</v>
      </c>
      <c r="D151" s="66" t="n">
        <v>5.9895</v>
      </c>
      <c r="E151" s="47"/>
      <c r="F151" s="47"/>
      <c r="G151" s="47"/>
      <c r="H151" s="47"/>
      <c r="I151" s="47"/>
      <c r="J151" s="47"/>
      <c r="K151" s="47"/>
    </row>
    <row r="152" customFormat="false" ht="15" hidden="false" customHeight="false" outlineLevel="0" collapsed="false">
      <c r="A152" s="50" t="s">
        <v>363</v>
      </c>
      <c r="B152" s="65" t="n">
        <v>4.564801</v>
      </c>
      <c r="C152" s="66" t="n">
        <v>6.005661</v>
      </c>
      <c r="D152" s="66" t="n">
        <v>7.295029</v>
      </c>
      <c r="E152" s="47"/>
      <c r="F152" s="47"/>
      <c r="G152" s="47"/>
      <c r="H152" s="47"/>
      <c r="I152" s="47"/>
      <c r="J152" s="47"/>
      <c r="K152" s="47"/>
    </row>
    <row r="153" customFormat="false" ht="15" hidden="false" customHeight="false" outlineLevel="0" collapsed="false">
      <c r="A153" s="50" t="s">
        <v>364</v>
      </c>
      <c r="B153" s="65" t="n">
        <v>1.5216</v>
      </c>
      <c r="C153" s="66" t="n">
        <v>2.001887</v>
      </c>
      <c r="D153" s="66" t="n">
        <v>2.431676</v>
      </c>
      <c r="E153" s="47"/>
      <c r="F153" s="47"/>
      <c r="G153" s="47"/>
      <c r="H153" s="47"/>
      <c r="I153" s="47"/>
      <c r="J153" s="47"/>
      <c r="K153" s="47"/>
    </row>
    <row r="154" customFormat="false" ht="15" hidden="false" customHeight="false" outlineLevel="0" collapsed="false">
      <c r="A154" s="50" t="s">
        <v>365</v>
      </c>
      <c r="B154" s="65" t="n">
        <v>3</v>
      </c>
      <c r="C154" s="66" t="n">
        <v>6</v>
      </c>
      <c r="D154" s="66" t="n">
        <v>9</v>
      </c>
      <c r="E154" s="47"/>
      <c r="F154" s="47"/>
      <c r="G154" s="47"/>
      <c r="H154" s="47"/>
      <c r="I154" s="47"/>
      <c r="J154" s="47"/>
      <c r="K154" s="47"/>
    </row>
    <row r="155" customFormat="false" ht="15" hidden="false" customHeight="false" outlineLevel="0" collapsed="false">
      <c r="A155" s="50" t="s">
        <v>366</v>
      </c>
      <c r="B155" s="65" t="n">
        <v>7.2</v>
      </c>
      <c r="C155" s="66" t="n">
        <v>7.92</v>
      </c>
      <c r="D155" s="66" t="n">
        <v>8.712</v>
      </c>
      <c r="E155" s="47"/>
      <c r="F155" s="47"/>
      <c r="G155" s="47"/>
      <c r="H155" s="47"/>
      <c r="I155" s="47"/>
      <c r="J155" s="47"/>
      <c r="K155" s="47"/>
    </row>
    <row r="156" customFormat="false" ht="15" hidden="false" customHeight="false" outlineLevel="0" collapsed="false">
      <c r="A156" s="58" t="s">
        <v>367</v>
      </c>
      <c r="B156" s="67" t="n">
        <f aca="false">SUM(B150:B155)</f>
        <v>51.668409</v>
      </c>
      <c r="C156" s="68" t="n">
        <f aca="false">SUM(C150:C155)</f>
        <v>67.410286</v>
      </c>
      <c r="D156" s="68" t="n">
        <f aca="false">SUM(D150:D155)</f>
        <v>82.061731</v>
      </c>
      <c r="E156" s="47"/>
      <c r="F156" s="47"/>
      <c r="G156" s="47"/>
      <c r="H156" s="47"/>
      <c r="I156" s="47"/>
      <c r="J156" s="47"/>
      <c r="K156" s="47"/>
    </row>
    <row r="157" customFormat="false" ht="15" hidden="false" customHeight="false" outlineLevel="0" collapsed="false">
      <c r="A157" s="58" t="s">
        <v>368</v>
      </c>
      <c r="B157" s="69" t="n">
        <f aca="false">B156*Inputs!$B$148</f>
        <v>36.9393665544112</v>
      </c>
      <c r="C157" s="70" t="n">
        <f aca="false">C156*Inputs!$B$148</f>
        <v>48.1937282816604</v>
      </c>
      <c r="D157" s="70" t="n">
        <f aca="false">D156*Inputs!$B$148</f>
        <v>58.6685059626762</v>
      </c>
      <c r="E157" s="52" t="s">
        <v>369</v>
      </c>
      <c r="F157" s="47"/>
      <c r="G157" s="47"/>
      <c r="H157" s="47"/>
      <c r="I157" s="47"/>
      <c r="J157" s="47"/>
      <c r="K157" s="47"/>
    </row>
    <row r="158" customFormat="false" ht="15" hidden="false" customHeight="false" outlineLevel="0" collapsed="false">
      <c r="A158" s="46" t="s">
        <v>370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</row>
    <row r="159" customFormat="false" ht="15" hidden="false" customHeight="false" outlineLevel="0" collapsed="false">
      <c r="A159" s="50" t="s">
        <v>371</v>
      </c>
      <c r="B159" s="54" t="n">
        <v>0.1</v>
      </c>
      <c r="C159" s="52" t="s">
        <v>181</v>
      </c>
      <c r="D159" s="52" t="s">
        <v>266</v>
      </c>
      <c r="E159" s="47"/>
      <c r="F159" s="47"/>
      <c r="G159" s="47"/>
      <c r="H159" s="47"/>
      <c r="I159" s="47"/>
      <c r="J159" s="47"/>
      <c r="K159" s="47"/>
    </row>
    <row r="160" customFormat="false" ht="15" hidden="false" customHeight="false" outlineLevel="0" collapsed="false">
      <c r="A160" s="50" t="s">
        <v>372</v>
      </c>
      <c r="B160" s="57" t="n">
        <v>9.7</v>
      </c>
      <c r="C160" s="52" t="s">
        <v>201</v>
      </c>
      <c r="D160" s="52" t="s">
        <v>266</v>
      </c>
      <c r="E160" s="47"/>
      <c r="F160" s="47"/>
      <c r="G160" s="47"/>
      <c r="H160" s="47"/>
      <c r="I160" s="47"/>
      <c r="J160" s="47"/>
      <c r="K160" s="47"/>
    </row>
    <row r="161" customFormat="false" ht="15" hidden="false" customHeight="false" outlineLevel="0" collapsed="false">
      <c r="A161" s="50" t="s">
        <v>373</v>
      </c>
      <c r="B161" s="54" t="n">
        <v>0.0313</v>
      </c>
      <c r="C161" s="52" t="s">
        <v>181</v>
      </c>
      <c r="D161" s="52" t="s">
        <v>374</v>
      </c>
      <c r="E161" s="47"/>
      <c r="F161" s="47"/>
      <c r="G161" s="47"/>
      <c r="H161" s="47"/>
      <c r="I161" s="47"/>
      <c r="J161" s="47"/>
      <c r="K161" s="47"/>
    </row>
    <row r="162" customFormat="false" ht="15" hidden="false" customHeight="false" outlineLevel="0" collapsed="false">
      <c r="A162" s="48" t="s">
        <v>375</v>
      </c>
      <c r="B162" s="49"/>
      <c r="C162" s="49"/>
      <c r="D162" s="49"/>
      <c r="E162" s="47"/>
      <c r="F162" s="47"/>
      <c r="G162" s="47"/>
      <c r="H162" s="47"/>
      <c r="I162" s="47"/>
      <c r="J162" s="47"/>
      <c r="K162" s="47"/>
    </row>
    <row r="163" customFormat="false" ht="15" hidden="false" customHeight="false" outlineLevel="0" collapsed="false">
      <c r="A163" s="50" t="s">
        <v>376</v>
      </c>
      <c r="B163" s="57" t="n">
        <v>6.5</v>
      </c>
      <c r="C163" s="52" t="s">
        <v>201</v>
      </c>
      <c r="D163" s="52" t="s">
        <v>377</v>
      </c>
      <c r="E163" s="47"/>
      <c r="F163" s="47"/>
      <c r="G163" s="47"/>
      <c r="H163" s="47"/>
      <c r="I163" s="47"/>
      <c r="J163" s="47"/>
      <c r="K163" s="47"/>
    </row>
    <row r="164" customFormat="false" ht="15" hidden="false" customHeight="false" outlineLevel="0" collapsed="false">
      <c r="A164" s="50" t="s">
        <v>378</v>
      </c>
      <c r="B164" s="57" t="n">
        <v>5</v>
      </c>
      <c r="C164" s="52" t="s">
        <v>201</v>
      </c>
      <c r="D164" s="52" t="s">
        <v>266</v>
      </c>
      <c r="E164" s="47"/>
      <c r="F164" s="47"/>
      <c r="G164" s="47"/>
      <c r="H164" s="47"/>
      <c r="I164" s="47"/>
      <c r="J164" s="47"/>
      <c r="K164" s="47"/>
    </row>
    <row r="165" customFormat="false" ht="15" hidden="false" customHeight="false" outlineLevel="0" collapsed="false">
      <c r="A165" s="50" t="s">
        <v>379</v>
      </c>
      <c r="B165" s="54" t="n">
        <v>0.5</v>
      </c>
      <c r="C165" s="52" t="s">
        <v>181</v>
      </c>
      <c r="D165" s="52" t="s">
        <v>380</v>
      </c>
      <c r="E165" s="47"/>
      <c r="F165" s="47"/>
      <c r="G165" s="47"/>
      <c r="H165" s="47"/>
      <c r="I165" s="47"/>
      <c r="J165" s="47"/>
      <c r="K165" s="47"/>
    </row>
    <row r="166" customFormat="false" ht="15" hidden="false" customHeight="false" outlineLevel="0" collapsed="false">
      <c r="A166" s="50" t="s">
        <v>381</v>
      </c>
      <c r="B166" s="54" t="n">
        <v>0.025</v>
      </c>
      <c r="C166" s="52" t="s">
        <v>181</v>
      </c>
      <c r="D166" s="52" t="s">
        <v>346</v>
      </c>
      <c r="E166" s="47"/>
      <c r="F166" s="47"/>
      <c r="G166" s="47"/>
      <c r="H166" s="47"/>
      <c r="I166" s="47"/>
      <c r="J166" s="47"/>
      <c r="K166" s="47"/>
    </row>
    <row r="167" customFormat="false" ht="15" hidden="false" customHeight="false" outlineLevel="0" collapsed="false">
      <c r="A167" s="50" t="s">
        <v>382</v>
      </c>
      <c r="B167" s="57" t="n">
        <v>2.389582</v>
      </c>
      <c r="C167" s="52" t="s">
        <v>201</v>
      </c>
      <c r="D167" s="52" t="s">
        <v>383</v>
      </c>
      <c r="E167" s="47"/>
      <c r="F167" s="47"/>
      <c r="G167" s="47"/>
      <c r="H167" s="47"/>
      <c r="I167" s="47"/>
      <c r="J167" s="47"/>
      <c r="K167" s="47"/>
    </row>
    <row r="168" customFormat="false" ht="15" hidden="false" customHeight="false" outlineLevel="0" collapsed="false">
      <c r="A168" s="50" t="s">
        <v>384</v>
      </c>
      <c r="B168" s="71" t="n">
        <v>2028.25</v>
      </c>
      <c r="C168" s="52" t="s">
        <v>231</v>
      </c>
      <c r="D168" s="52" t="s">
        <v>385</v>
      </c>
      <c r="E168" s="47"/>
      <c r="F168" s="47"/>
      <c r="G168" s="47"/>
      <c r="H168" s="47"/>
      <c r="I168" s="47"/>
      <c r="J168" s="47"/>
      <c r="K168" s="47"/>
    </row>
    <row r="169" customFormat="false" ht="15" hidden="false" customHeight="false" outlineLevel="0" collapsed="false">
      <c r="A169" s="50" t="s">
        <v>386</v>
      </c>
      <c r="B169" s="54" t="n">
        <v>0.02</v>
      </c>
      <c r="C169" s="52" t="s">
        <v>181</v>
      </c>
      <c r="D169" s="52" t="s">
        <v>387</v>
      </c>
      <c r="E169" s="47"/>
      <c r="F169" s="47"/>
      <c r="G169" s="47"/>
      <c r="H169" s="47"/>
      <c r="I169" s="47"/>
      <c r="J169" s="47"/>
      <c r="K169" s="47"/>
    </row>
    <row r="170" customFormat="false" ht="15" hidden="false" customHeight="false" outlineLevel="0" collapsed="false">
      <c r="A170" s="50" t="s">
        <v>388</v>
      </c>
      <c r="B170" s="54" t="n">
        <v>0.025</v>
      </c>
      <c r="C170" s="52" t="s">
        <v>181</v>
      </c>
      <c r="D170" s="52" t="s">
        <v>389</v>
      </c>
      <c r="E170" s="47"/>
      <c r="F170" s="47"/>
      <c r="G170" s="47"/>
      <c r="H170" s="47"/>
      <c r="I170" s="47"/>
      <c r="J170" s="47"/>
      <c r="K170" s="47"/>
    </row>
    <row r="171" customFormat="false" ht="15" hidden="false" customHeight="false" outlineLevel="0" collapsed="false">
      <c r="A171" s="50" t="s">
        <v>390</v>
      </c>
      <c r="B171" s="61" t="n">
        <v>45</v>
      </c>
      <c r="C171" s="52" t="s">
        <v>177</v>
      </c>
      <c r="D171" s="52" t="s">
        <v>391</v>
      </c>
      <c r="E171" s="47"/>
      <c r="F171" s="47"/>
      <c r="G171" s="47"/>
      <c r="H171" s="47"/>
      <c r="I171" s="47"/>
      <c r="J171" s="47"/>
      <c r="K171" s="47"/>
    </row>
    <row r="172" customFormat="false" ht="15" hidden="false" customHeight="false" outlineLevel="0" collapsed="false">
      <c r="A172" s="50" t="s">
        <v>392</v>
      </c>
      <c r="B172" s="61" t="n">
        <v>10</v>
      </c>
      <c r="C172" s="52" t="s">
        <v>177</v>
      </c>
      <c r="D172" s="52" t="s">
        <v>393</v>
      </c>
      <c r="E172" s="47"/>
      <c r="F172" s="47"/>
      <c r="G172" s="47"/>
      <c r="H172" s="47"/>
      <c r="I172" s="47"/>
      <c r="J172" s="47"/>
      <c r="K172" s="47"/>
    </row>
    <row r="173" customFormat="false" ht="15" hidden="false" customHeight="false" outlineLevel="0" collapsed="false">
      <c r="A173" s="50" t="s">
        <v>394</v>
      </c>
      <c r="B173" s="54" t="n">
        <v>0.2</v>
      </c>
      <c r="C173" s="52" t="s">
        <v>181</v>
      </c>
      <c r="D173" s="52" t="s">
        <v>395</v>
      </c>
      <c r="E173" s="47"/>
      <c r="F173" s="47"/>
      <c r="G173" s="47"/>
      <c r="H173" s="47"/>
      <c r="I173" s="47"/>
      <c r="J173" s="47"/>
      <c r="K173" s="47"/>
    </row>
    <row r="174" customFormat="false" ht="15" hidden="false" customHeight="false" outlineLevel="0" collapsed="false">
      <c r="A174" s="48" t="s">
        <v>396</v>
      </c>
      <c r="B174" s="49"/>
      <c r="C174" s="49"/>
      <c r="D174" s="49"/>
      <c r="E174" s="47"/>
      <c r="F174" s="47"/>
      <c r="G174" s="47"/>
      <c r="H174" s="47"/>
      <c r="I174" s="47"/>
      <c r="J174" s="47"/>
      <c r="K174" s="47"/>
    </row>
    <row r="175" customFormat="false" ht="15" hidden="false" customHeight="false" outlineLevel="0" collapsed="false">
      <c r="A175" s="50" t="s">
        <v>397</v>
      </c>
      <c r="B175" s="54" t="n">
        <v>0.13</v>
      </c>
      <c r="C175" s="52" t="s">
        <v>181</v>
      </c>
      <c r="D175" s="52" t="s">
        <v>266</v>
      </c>
      <c r="E175" s="47"/>
      <c r="F175" s="47"/>
      <c r="G175" s="47"/>
      <c r="H175" s="47"/>
      <c r="I175" s="47"/>
      <c r="J175" s="47"/>
      <c r="K175" s="47"/>
    </row>
    <row r="176" customFormat="false" ht="15" hidden="false" customHeight="false" outlineLevel="0" collapsed="false">
      <c r="A176" s="50" t="s">
        <v>398</v>
      </c>
      <c r="B176" s="60" t="n">
        <v>2040</v>
      </c>
      <c r="C176" s="52" t="s">
        <v>231</v>
      </c>
      <c r="D176" s="52" t="s">
        <v>399</v>
      </c>
      <c r="E176" s="47"/>
      <c r="F176" s="47"/>
      <c r="G176" s="47"/>
      <c r="H176" s="47"/>
      <c r="I176" s="47"/>
      <c r="J176" s="47"/>
      <c r="K176" s="47"/>
    </row>
    <row r="177" customFormat="false" ht="15" hidden="false" customHeight="false" outlineLevel="0" collapsed="false">
      <c r="A177" s="50" t="s">
        <v>400</v>
      </c>
      <c r="B177" s="72" t="n">
        <v>0.1</v>
      </c>
      <c r="C177" s="52" t="s">
        <v>181</v>
      </c>
      <c r="D177" s="52" t="s">
        <v>399</v>
      </c>
      <c r="E177" s="47"/>
      <c r="F177" s="47"/>
      <c r="G177" s="47"/>
      <c r="H177" s="47"/>
      <c r="I177" s="47"/>
      <c r="J177" s="47"/>
      <c r="K177" s="47"/>
    </row>
    <row r="178" customFormat="false" ht="15" hidden="false" customHeight="false" outlineLevel="0" collapsed="false">
      <c r="A178" s="50" t="s">
        <v>401</v>
      </c>
      <c r="B178" s="72" t="n">
        <v>0.1</v>
      </c>
      <c r="C178" s="52" t="s">
        <v>181</v>
      </c>
      <c r="D178" s="52" t="s">
        <v>402</v>
      </c>
      <c r="E178" s="47"/>
      <c r="F178" s="47"/>
      <c r="G178" s="47"/>
      <c r="H178" s="47"/>
      <c r="I178" s="47"/>
      <c r="J178" s="47"/>
      <c r="K178" s="47"/>
    </row>
    <row r="179" customFormat="false" ht="15" hidden="false" customHeight="false" outlineLevel="0" collapsed="false">
      <c r="A179" s="48" t="s">
        <v>403</v>
      </c>
      <c r="B179" s="49"/>
      <c r="C179" s="49"/>
      <c r="D179" s="49"/>
      <c r="E179" s="47"/>
      <c r="F179" s="47"/>
      <c r="G179" s="47"/>
      <c r="H179" s="47"/>
      <c r="I179" s="47"/>
      <c r="J179" s="47"/>
      <c r="K179" s="47"/>
    </row>
    <row r="180" customFormat="false" ht="15" hidden="false" customHeight="false" outlineLevel="0" collapsed="false">
      <c r="A180" s="50" t="s">
        <v>404</v>
      </c>
      <c r="B180" s="61" t="n">
        <v>205365</v>
      </c>
      <c r="C180" s="52" t="s">
        <v>353</v>
      </c>
      <c r="D180" s="52" t="s">
        <v>405</v>
      </c>
      <c r="E180" s="47"/>
      <c r="F180" s="47"/>
      <c r="G180" s="47"/>
      <c r="H180" s="47"/>
      <c r="I180" s="47"/>
      <c r="J180" s="47"/>
      <c r="K180" s="47"/>
    </row>
    <row r="181" customFormat="false" ht="15" hidden="false" customHeight="false" outlineLevel="0" collapsed="false">
      <c r="A181" s="50" t="s">
        <v>406</v>
      </c>
      <c r="B181" s="61" t="n">
        <v>245337</v>
      </c>
      <c r="C181" s="52" t="s">
        <v>353</v>
      </c>
      <c r="D181" s="52" t="s">
        <v>407</v>
      </c>
      <c r="E181" s="47"/>
      <c r="F181" s="47"/>
      <c r="G181" s="47"/>
      <c r="H181" s="47"/>
      <c r="I181" s="47"/>
      <c r="J181" s="47"/>
      <c r="K181" s="47"/>
    </row>
    <row r="182" customFormat="false" ht="15" hidden="false" customHeight="false" outlineLevel="0" collapsed="false">
      <c r="A182" s="50" t="s">
        <v>408</v>
      </c>
      <c r="B182" s="57" t="n">
        <v>16.5</v>
      </c>
      <c r="C182" s="52" t="s">
        <v>409</v>
      </c>
      <c r="D182" s="52" t="s">
        <v>410</v>
      </c>
      <c r="E182" s="47"/>
      <c r="F182" s="47"/>
      <c r="G182" s="47"/>
      <c r="H182" s="47"/>
      <c r="I182" s="47"/>
      <c r="J182" s="47"/>
      <c r="K182" s="47"/>
    </row>
    <row r="183" customFormat="false" ht="15" hidden="false" customHeight="false" outlineLevel="0" collapsed="false">
      <c r="A183" s="50" t="s">
        <v>411</v>
      </c>
      <c r="B183" s="57" t="n">
        <v>71.153209</v>
      </c>
      <c r="C183" s="52" t="s">
        <v>201</v>
      </c>
      <c r="D183" s="52" t="s">
        <v>412</v>
      </c>
      <c r="E183" s="47"/>
      <c r="F183" s="47"/>
      <c r="G183" s="47"/>
      <c r="H183" s="47"/>
      <c r="I183" s="47"/>
      <c r="J183" s="47"/>
      <c r="K183" s="47"/>
    </row>
    <row r="184" customFormat="false" ht="15" hidden="false" customHeight="false" outlineLevel="0" collapsed="false">
      <c r="A184" s="50" t="s">
        <v>413</v>
      </c>
      <c r="B184" s="73" t="n">
        <f aca="false">Inputs!$B$182*Inputs!$B$181/Inputs!$B$180</f>
        <v>19.7115404280184</v>
      </c>
      <c r="C184" s="47" t="s">
        <v>409</v>
      </c>
      <c r="D184" s="47"/>
      <c r="E184" s="47"/>
      <c r="F184" s="47"/>
      <c r="G184" s="47"/>
      <c r="H184" s="47"/>
      <c r="I184" s="47"/>
      <c r="J184" s="47"/>
      <c r="K184" s="47"/>
    </row>
    <row r="185" customFormat="false" ht="15" hidden="false" customHeight="false" outlineLevel="0" collapsed="false">
      <c r="A185" s="58" t="s">
        <v>414</v>
      </c>
      <c r="B185" s="73" t="n">
        <f aca="false">Inputs!$B$183*Inputs!$B$181/Inputs!$B$180</f>
        <v>85.0023851991966</v>
      </c>
      <c r="C185" s="47" t="s">
        <v>201</v>
      </c>
      <c r="D185" s="52" t="s">
        <v>415</v>
      </c>
      <c r="E185" s="47"/>
      <c r="F185" s="47"/>
      <c r="G185" s="47"/>
      <c r="H185" s="47"/>
      <c r="I185" s="47"/>
      <c r="J185" s="47"/>
      <c r="K185" s="47"/>
    </row>
    <row r="186" customFormat="false" ht="15" hidden="false" customHeight="false" outlineLevel="0" collapsed="false">
      <c r="A186" s="48" t="s">
        <v>416</v>
      </c>
      <c r="B186" s="49"/>
      <c r="C186" s="49"/>
      <c r="D186" s="49"/>
      <c r="E186" s="47"/>
      <c r="F186" s="47"/>
      <c r="G186" s="47"/>
      <c r="H186" s="47"/>
      <c r="I186" s="47"/>
      <c r="J186" s="47"/>
      <c r="K186" s="47"/>
    </row>
    <row r="187" customFormat="false" ht="15" hidden="false" customHeight="false" outlineLevel="0" collapsed="false">
      <c r="A187" s="50" t="s">
        <v>417</v>
      </c>
      <c r="B187" s="74" t="n">
        <v>1</v>
      </c>
      <c r="C187" s="52" t="s">
        <v>181</v>
      </c>
      <c r="D187" s="52" t="s">
        <v>418</v>
      </c>
      <c r="E187" s="47"/>
      <c r="F187" s="47"/>
      <c r="G187" s="47"/>
      <c r="H187" s="47"/>
      <c r="I187" s="47"/>
      <c r="J187" s="47"/>
      <c r="K187" s="47"/>
    </row>
    <row r="188" customFormat="false" ht="15" hidden="false" customHeight="false" outlineLevel="0" collapsed="false">
      <c r="A188" s="50" t="s">
        <v>419</v>
      </c>
      <c r="B188" s="72" t="n">
        <v>0.065</v>
      </c>
      <c r="C188" s="52" t="s">
        <v>181</v>
      </c>
      <c r="D188" s="52" t="s">
        <v>420</v>
      </c>
      <c r="E188" s="47"/>
      <c r="F188" s="47"/>
      <c r="G188" s="47"/>
      <c r="H188" s="47"/>
      <c r="I188" s="47"/>
      <c r="J188" s="47"/>
      <c r="K188" s="47"/>
    </row>
    <row r="189" customFormat="false" ht="15" hidden="false" customHeight="false" outlineLevel="0" collapsed="false">
      <c r="A189" s="50" t="s">
        <v>421</v>
      </c>
      <c r="B189" s="53" t="n">
        <v>4</v>
      </c>
      <c r="C189" s="52" t="s">
        <v>177</v>
      </c>
      <c r="D189" s="52" t="s">
        <v>422</v>
      </c>
      <c r="E189" s="47"/>
      <c r="F189" s="47"/>
      <c r="G189" s="47"/>
      <c r="H189" s="47"/>
      <c r="I189" s="47"/>
      <c r="J189" s="47"/>
      <c r="K189" s="47"/>
    </row>
    <row r="190" customFormat="false" ht="15" hidden="false" customHeight="false" outlineLevel="0" collapsed="false">
      <c r="A190" s="50" t="s">
        <v>423</v>
      </c>
      <c r="B190" s="53" t="n">
        <v>16</v>
      </c>
      <c r="C190" s="52" t="s">
        <v>177</v>
      </c>
      <c r="D190" s="52" t="s">
        <v>420</v>
      </c>
      <c r="E190" s="47"/>
      <c r="F190" s="47"/>
      <c r="G190" s="47"/>
      <c r="H190" s="47"/>
      <c r="I190" s="47"/>
      <c r="J190" s="47"/>
      <c r="K190" s="47"/>
    </row>
    <row r="191" customFormat="false" ht="15" hidden="false" customHeight="false" outlineLevel="0" collapsed="false">
      <c r="A191" s="50" t="s">
        <v>424</v>
      </c>
      <c r="B191" s="51" t="n">
        <v>1</v>
      </c>
      <c r="C191" s="52" t="s">
        <v>170</v>
      </c>
      <c r="D191" s="52" t="s">
        <v>425</v>
      </c>
      <c r="E191" s="47"/>
      <c r="F191" s="47"/>
      <c r="G191" s="47"/>
      <c r="H191" s="47"/>
      <c r="I191" s="47"/>
      <c r="J191" s="47"/>
      <c r="K191" s="47"/>
    </row>
    <row r="192" customFormat="false" ht="15" hidden="false" customHeight="false" outlineLevel="0" collapsed="false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</row>
    <row r="193" customFormat="false" ht="15" hidden="false" customHeight="false" outlineLevel="0" collapsed="false">
      <c r="A193" s="48" t="s">
        <v>426</v>
      </c>
      <c r="B193" s="49"/>
      <c r="C193" s="49"/>
      <c r="D193" s="49"/>
      <c r="E193" s="47"/>
      <c r="F193" s="47"/>
      <c r="G193" s="47"/>
      <c r="H193" s="47"/>
      <c r="I193" s="47"/>
      <c r="J193" s="47"/>
      <c r="K193" s="47"/>
    </row>
    <row r="194" customFormat="false" ht="15" hidden="false" customHeight="false" outlineLevel="0" collapsed="false">
      <c r="A194" s="50" t="s">
        <v>427</v>
      </c>
      <c r="B194" s="61" t="n">
        <v>40000</v>
      </c>
      <c r="C194" s="52" t="s">
        <v>353</v>
      </c>
      <c r="D194" s="52" t="s">
        <v>428</v>
      </c>
      <c r="E194" s="47"/>
      <c r="F194" s="47"/>
      <c r="G194" s="47"/>
      <c r="H194" s="47"/>
      <c r="I194" s="47"/>
      <c r="J194" s="47"/>
      <c r="K194" s="47"/>
    </row>
    <row r="195" customFormat="false" ht="15" hidden="false" customHeight="false" outlineLevel="0" collapsed="false">
      <c r="A195" s="50" t="s">
        <v>429</v>
      </c>
      <c r="B195" s="61" t="n">
        <v>18050</v>
      </c>
      <c r="C195" s="52" t="s">
        <v>353</v>
      </c>
      <c r="D195" s="52" t="s">
        <v>430</v>
      </c>
      <c r="E195" s="47"/>
      <c r="F195" s="47"/>
      <c r="G195" s="47"/>
      <c r="H195" s="47"/>
      <c r="I195" s="47"/>
      <c r="J195" s="47"/>
      <c r="K195" s="47"/>
    </row>
    <row r="196" customFormat="false" ht="15" hidden="false" customHeight="false" outlineLevel="0" collapsed="false">
      <c r="A196" s="50" t="s">
        <v>431</v>
      </c>
      <c r="B196" s="61" t="n">
        <v>48467</v>
      </c>
      <c r="C196" s="52" t="s">
        <v>353</v>
      </c>
      <c r="D196" s="52" t="s">
        <v>432</v>
      </c>
      <c r="E196" s="47"/>
      <c r="F196" s="47"/>
      <c r="G196" s="47"/>
      <c r="H196" s="47"/>
      <c r="I196" s="47"/>
      <c r="J196" s="47"/>
      <c r="K196" s="47"/>
    </row>
    <row r="197" customFormat="false" ht="15" hidden="false" customHeight="false" outlineLevel="0" collapsed="false">
      <c r="A197" s="50" t="s">
        <v>433</v>
      </c>
      <c r="B197" s="54" t="n">
        <v>0.1</v>
      </c>
      <c r="C197" s="52" t="s">
        <v>181</v>
      </c>
      <c r="D197" s="52" t="s">
        <v>434</v>
      </c>
      <c r="E197" s="47"/>
      <c r="F197" s="47"/>
      <c r="G197" s="47"/>
      <c r="H197" s="47"/>
      <c r="I197" s="47"/>
      <c r="J197" s="47"/>
      <c r="K197" s="47"/>
    </row>
    <row r="198" customFormat="false" ht="15" hidden="false" customHeight="false" outlineLevel="0" collapsed="false">
      <c r="A198" s="50" t="s">
        <v>435</v>
      </c>
      <c r="B198" s="61" t="n">
        <v>78</v>
      </c>
      <c r="C198" s="52" t="s">
        <v>249</v>
      </c>
      <c r="D198" s="52" t="s">
        <v>436</v>
      </c>
      <c r="E198" s="47"/>
      <c r="F198" s="47"/>
      <c r="G198" s="47"/>
      <c r="H198" s="47"/>
      <c r="I198" s="47"/>
      <c r="J198" s="47"/>
      <c r="K198" s="47"/>
    </row>
    <row r="199" customFormat="false" ht="15" hidden="false" customHeight="false" outlineLevel="0" collapsed="false">
      <c r="A199" s="50" t="s">
        <v>437</v>
      </c>
      <c r="B199" s="56" t="n">
        <f aca="false">Inputs!$B$147</f>
        <v>38597</v>
      </c>
      <c r="C199" s="52" t="s">
        <v>353</v>
      </c>
      <c r="D199" s="52" t="s">
        <v>438</v>
      </c>
      <c r="E199" s="47"/>
      <c r="F199" s="47"/>
      <c r="G199" s="47"/>
      <c r="H199" s="47"/>
      <c r="I199" s="47"/>
      <c r="J199" s="47"/>
      <c r="K199" s="47"/>
    </row>
    <row r="200" customFormat="false" ht="15" hidden="false" customHeight="false" outlineLevel="0" collapsed="false">
      <c r="A200" s="50" t="s">
        <v>439</v>
      </c>
      <c r="B200" s="55" t="n">
        <v>1</v>
      </c>
      <c r="C200" s="52" t="s">
        <v>188</v>
      </c>
      <c r="D200" s="52" t="s">
        <v>440</v>
      </c>
      <c r="E200" s="47"/>
      <c r="F200" s="47"/>
      <c r="G200" s="47"/>
      <c r="H200" s="47"/>
      <c r="I200" s="47"/>
      <c r="J200" s="47"/>
      <c r="K200" s="47"/>
    </row>
    <row r="201" customFormat="false" ht="15" hidden="false" customHeight="false" outlineLevel="0" collapsed="false">
      <c r="A201" s="50" t="s">
        <v>441</v>
      </c>
      <c r="B201" s="54" t="n">
        <v>0.2</v>
      </c>
      <c r="C201" s="52" t="s">
        <v>181</v>
      </c>
      <c r="D201" s="52" t="s">
        <v>442</v>
      </c>
      <c r="E201" s="47"/>
      <c r="F201" s="47"/>
      <c r="G201" s="47"/>
      <c r="H201" s="47"/>
      <c r="I201" s="47"/>
      <c r="J201" s="47"/>
      <c r="K201" s="47"/>
    </row>
    <row r="202" customFormat="false" ht="15" hidden="false" customHeight="false" outlineLevel="0" collapsed="false">
      <c r="A202" s="50" t="s">
        <v>443</v>
      </c>
      <c r="B202" s="54" t="n">
        <v>0.55</v>
      </c>
      <c r="C202" s="52" t="s">
        <v>181</v>
      </c>
      <c r="D202" s="52" t="s">
        <v>184</v>
      </c>
      <c r="E202" s="47"/>
      <c r="F202" s="47"/>
      <c r="G202" s="47"/>
      <c r="H202" s="47"/>
      <c r="I202" s="47"/>
      <c r="J202" s="47"/>
      <c r="K202" s="47"/>
    </row>
    <row r="203" customFormat="false" ht="15" hidden="false" customHeight="false" outlineLevel="0" collapsed="false">
      <c r="A203" s="50" t="s">
        <v>444</v>
      </c>
      <c r="B203" s="54" t="n">
        <v>0.25</v>
      </c>
      <c r="C203" s="52" t="s">
        <v>181</v>
      </c>
      <c r="D203" s="52" t="s">
        <v>445</v>
      </c>
      <c r="E203" s="47"/>
      <c r="F203" s="47"/>
      <c r="G203" s="47"/>
      <c r="H203" s="47"/>
      <c r="I203" s="47"/>
      <c r="J203" s="47"/>
      <c r="K203" s="47"/>
    </row>
    <row r="204" customFormat="false" ht="15" hidden="false" customHeight="false" outlineLevel="0" collapsed="false">
      <c r="A204" s="46" t="s">
        <v>446</v>
      </c>
      <c r="B204" s="47"/>
      <c r="C204" s="47"/>
      <c r="D204" s="47"/>
      <c r="E204" s="47"/>
      <c r="F204" s="47"/>
      <c r="G204" s="47"/>
      <c r="H204" s="47"/>
      <c r="I204" s="47"/>
      <c r="J204" s="47"/>
      <c r="K204" s="4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2026-10-22T07:32:48Z</dcterms:created>
  <dc:creator>openpyxl</dc:creator>
  <dc:description/>
  <dc:language>en-US</dc:language>
  <cp:lastModifiedBy/>
  <dcterms:modified xsi:type="dcterms:W3CDTF">2026-10-22T07:32:49Z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